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mac/Downloads/"/>
    </mc:Choice>
  </mc:AlternateContent>
  <bookViews>
    <workbookView xWindow="0" yWindow="0" windowWidth="25600" windowHeight="15060" tabRatio="500" activeTab="1"/>
  </bookViews>
  <sheets>
    <sheet name="transportation cost" sheetId="3" r:id="rId1"/>
    <sheet name="inventory cost" sheetId="4" r:id="rId2"/>
    <sheet name="Sheet2" sheetId="5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48" i="4" l="1"/>
  <c r="I143" i="4"/>
  <c r="G143" i="4"/>
  <c r="G142" i="4"/>
  <c r="H143" i="4"/>
  <c r="E143" i="4"/>
  <c r="B85" i="4"/>
  <c r="D85" i="4"/>
  <c r="E85" i="4"/>
  <c r="B163" i="4"/>
  <c r="H85" i="4"/>
  <c r="G85" i="4"/>
  <c r="I85" i="4"/>
  <c r="B86" i="4"/>
  <c r="D86" i="4"/>
  <c r="E86" i="4"/>
  <c r="H86" i="4"/>
  <c r="G86" i="4"/>
  <c r="I86" i="4"/>
  <c r="B87" i="4"/>
  <c r="D87" i="4"/>
  <c r="E87" i="4"/>
  <c r="H87" i="4"/>
  <c r="G87" i="4"/>
  <c r="I87" i="4"/>
  <c r="B88" i="4"/>
  <c r="D88" i="4"/>
  <c r="E88" i="4"/>
  <c r="H88" i="4"/>
  <c r="G88" i="4"/>
  <c r="I88" i="4"/>
  <c r="B89" i="4"/>
  <c r="D89" i="4"/>
  <c r="E89" i="4"/>
  <c r="H89" i="4"/>
  <c r="G89" i="4"/>
  <c r="I89" i="4"/>
  <c r="B90" i="4"/>
  <c r="D90" i="4"/>
  <c r="E90" i="4"/>
  <c r="H90" i="4"/>
  <c r="G90" i="4"/>
  <c r="I90" i="4"/>
  <c r="I91" i="4"/>
  <c r="B94" i="4"/>
  <c r="D94" i="4"/>
  <c r="E94" i="4"/>
  <c r="I94" i="4"/>
  <c r="B95" i="4"/>
  <c r="D95" i="4"/>
  <c r="E95" i="4"/>
  <c r="H95" i="4"/>
  <c r="G95" i="4"/>
  <c r="I95" i="4"/>
  <c r="B96" i="4"/>
  <c r="D96" i="4"/>
  <c r="E96" i="4"/>
  <c r="H96" i="4"/>
  <c r="G96" i="4"/>
  <c r="I96" i="4"/>
  <c r="B97" i="4"/>
  <c r="D97" i="4"/>
  <c r="E97" i="4"/>
  <c r="H97" i="4"/>
  <c r="G97" i="4"/>
  <c r="I97" i="4"/>
  <c r="B98" i="4"/>
  <c r="D98" i="4"/>
  <c r="E98" i="4"/>
  <c r="H98" i="4"/>
  <c r="G98" i="4"/>
  <c r="I98" i="4"/>
  <c r="B99" i="4"/>
  <c r="D99" i="4"/>
  <c r="E99" i="4"/>
  <c r="H99" i="4"/>
  <c r="G99" i="4"/>
  <c r="I99" i="4"/>
  <c r="B100" i="4"/>
  <c r="D100" i="4"/>
  <c r="E100" i="4"/>
  <c r="H100" i="4"/>
  <c r="G100" i="4"/>
  <c r="I100" i="4"/>
  <c r="B101" i="4"/>
  <c r="D101" i="4"/>
  <c r="E101" i="4"/>
  <c r="H101" i="4"/>
  <c r="G101" i="4"/>
  <c r="I101" i="4"/>
  <c r="B102" i="4"/>
  <c r="D102" i="4"/>
  <c r="E102" i="4"/>
  <c r="H102" i="4"/>
  <c r="G102" i="4"/>
  <c r="I102" i="4"/>
  <c r="B103" i="4"/>
  <c r="D103" i="4"/>
  <c r="E103" i="4"/>
  <c r="H103" i="4"/>
  <c r="G103" i="4"/>
  <c r="I103" i="4"/>
  <c r="C14" i="4"/>
  <c r="D14" i="4"/>
  <c r="E14" i="4"/>
  <c r="B104" i="4"/>
  <c r="D104" i="4"/>
  <c r="H104" i="4"/>
  <c r="G104" i="4"/>
  <c r="I104" i="4"/>
  <c r="B105" i="4"/>
  <c r="D105" i="4"/>
  <c r="E105" i="4"/>
  <c r="H105" i="4"/>
  <c r="G105" i="4"/>
  <c r="I105" i="4"/>
  <c r="B106" i="4"/>
  <c r="D106" i="4"/>
  <c r="E106" i="4"/>
  <c r="H106" i="4"/>
  <c r="G106" i="4"/>
  <c r="I106" i="4"/>
  <c r="B107" i="4"/>
  <c r="D107" i="4"/>
  <c r="E107" i="4"/>
  <c r="H107" i="4"/>
  <c r="G107" i="4"/>
  <c r="I107" i="4"/>
  <c r="I108" i="4"/>
  <c r="B110" i="4"/>
  <c r="D110" i="4"/>
  <c r="E110" i="4"/>
  <c r="H110" i="4"/>
  <c r="G110" i="4"/>
  <c r="I110" i="4"/>
  <c r="B111" i="4"/>
  <c r="D111" i="4"/>
  <c r="E111" i="4"/>
  <c r="H111" i="4"/>
  <c r="G111" i="4"/>
  <c r="I111" i="4"/>
  <c r="B112" i="4"/>
  <c r="D112" i="4"/>
  <c r="E112" i="4"/>
  <c r="H112" i="4"/>
  <c r="G112" i="4"/>
  <c r="I112" i="4"/>
  <c r="B113" i="4"/>
  <c r="D113" i="4"/>
  <c r="E113" i="4"/>
  <c r="H113" i="4"/>
  <c r="G113" i="4"/>
  <c r="I113" i="4"/>
  <c r="B114" i="4"/>
  <c r="D114" i="4"/>
  <c r="E114" i="4"/>
  <c r="H114" i="4"/>
  <c r="G114" i="4"/>
  <c r="I114" i="4"/>
  <c r="B115" i="4"/>
  <c r="D115" i="4"/>
  <c r="E115" i="4"/>
  <c r="H115" i="4"/>
  <c r="G115" i="4"/>
  <c r="I115" i="4"/>
  <c r="I116" i="4"/>
  <c r="B118" i="4"/>
  <c r="D118" i="4"/>
  <c r="E118" i="4"/>
  <c r="H118" i="4"/>
  <c r="G118" i="4"/>
  <c r="I118" i="4"/>
  <c r="B119" i="4"/>
  <c r="D119" i="4"/>
  <c r="E119" i="4"/>
  <c r="H119" i="4"/>
  <c r="G119" i="4"/>
  <c r="I119" i="4"/>
  <c r="B120" i="4"/>
  <c r="D120" i="4"/>
  <c r="E120" i="4"/>
  <c r="H120" i="4"/>
  <c r="G120" i="4"/>
  <c r="I120" i="4"/>
  <c r="B121" i="4"/>
  <c r="D121" i="4"/>
  <c r="E121" i="4"/>
  <c r="H121" i="4"/>
  <c r="G121" i="4"/>
  <c r="I121" i="4"/>
  <c r="B122" i="4"/>
  <c r="D122" i="4"/>
  <c r="E122" i="4"/>
  <c r="H122" i="4"/>
  <c r="G122" i="4"/>
  <c r="I122" i="4"/>
  <c r="B123" i="4"/>
  <c r="D123" i="4"/>
  <c r="E123" i="4"/>
  <c r="H123" i="4"/>
  <c r="G123" i="4"/>
  <c r="I123" i="4"/>
  <c r="I124" i="4"/>
  <c r="D126" i="4"/>
  <c r="E126" i="4"/>
  <c r="H126" i="4"/>
  <c r="G126" i="4"/>
  <c r="I126" i="4"/>
  <c r="D127" i="4"/>
  <c r="E127" i="4"/>
  <c r="H127" i="4"/>
  <c r="G127" i="4"/>
  <c r="I127" i="4"/>
  <c r="D128" i="4"/>
  <c r="E128" i="4"/>
  <c r="H128" i="4"/>
  <c r="G128" i="4"/>
  <c r="I128" i="4"/>
  <c r="D129" i="4"/>
  <c r="E129" i="4"/>
  <c r="H129" i="4"/>
  <c r="G129" i="4"/>
  <c r="I129" i="4"/>
  <c r="D130" i="4"/>
  <c r="E130" i="4"/>
  <c r="H130" i="4"/>
  <c r="G130" i="4"/>
  <c r="I130" i="4"/>
  <c r="D131" i="4"/>
  <c r="E131" i="4"/>
  <c r="H131" i="4"/>
  <c r="G131" i="4"/>
  <c r="I131" i="4"/>
  <c r="D132" i="4"/>
  <c r="E132" i="4"/>
  <c r="H132" i="4"/>
  <c r="G132" i="4"/>
  <c r="I132" i="4"/>
  <c r="D133" i="4"/>
  <c r="E133" i="4"/>
  <c r="H133" i="4"/>
  <c r="G133" i="4"/>
  <c r="I133" i="4"/>
  <c r="D134" i="4"/>
  <c r="E134" i="4"/>
  <c r="H134" i="4"/>
  <c r="G134" i="4"/>
  <c r="I134" i="4"/>
  <c r="D135" i="4"/>
  <c r="E135" i="4"/>
  <c r="H135" i="4"/>
  <c r="G135" i="4"/>
  <c r="I135" i="4"/>
  <c r="D136" i="4"/>
  <c r="E136" i="4"/>
  <c r="H136" i="4"/>
  <c r="G136" i="4"/>
  <c r="I136" i="4"/>
  <c r="D137" i="4"/>
  <c r="E137" i="4"/>
  <c r="H137" i="4"/>
  <c r="G137" i="4"/>
  <c r="I137" i="4"/>
  <c r="D138" i="4"/>
  <c r="E138" i="4"/>
  <c r="H138" i="4"/>
  <c r="G138" i="4"/>
  <c r="I138" i="4"/>
  <c r="I139" i="4"/>
  <c r="B142" i="4"/>
  <c r="D142" i="4"/>
  <c r="E142" i="4"/>
  <c r="H142" i="4"/>
  <c r="I142" i="4"/>
  <c r="I144" i="4"/>
  <c r="B143" i="4"/>
  <c r="B144" i="4"/>
  <c r="B139" i="4"/>
  <c r="B124" i="4"/>
  <c r="B116" i="4"/>
  <c r="B108" i="4"/>
  <c r="B91" i="4"/>
  <c r="B148" i="4"/>
  <c r="C148" i="4"/>
  <c r="G49" i="4"/>
  <c r="G50" i="4"/>
  <c r="H94" i="4"/>
  <c r="D143" i="4"/>
  <c r="D139" i="4"/>
  <c r="E139" i="4"/>
  <c r="D124" i="4"/>
  <c r="E124" i="4"/>
  <c r="D116" i="4"/>
  <c r="E116" i="4"/>
  <c r="D108" i="4"/>
  <c r="E108" i="4"/>
  <c r="E104" i="4"/>
  <c r="C142" i="4"/>
  <c r="C143" i="4"/>
  <c r="C144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18" i="4"/>
  <c r="C119" i="4"/>
  <c r="C120" i="4"/>
  <c r="C121" i="4"/>
  <c r="C122" i="4"/>
  <c r="C123" i="4"/>
  <c r="C124" i="4"/>
  <c r="C110" i="4"/>
  <c r="C111" i="4"/>
  <c r="C112" i="4"/>
  <c r="C113" i="4"/>
  <c r="C114" i="4"/>
  <c r="C115" i="4"/>
  <c r="C116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D91" i="4"/>
  <c r="C85" i="4"/>
  <c r="C86" i="4"/>
  <c r="C87" i="4"/>
  <c r="C88" i="4"/>
  <c r="C89" i="4"/>
  <c r="C90" i="4"/>
  <c r="C91" i="4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55" i="3"/>
  <c r="D48" i="3"/>
  <c r="D49" i="3"/>
  <c r="D50" i="3"/>
  <c r="D51" i="3"/>
  <c r="D52" i="3"/>
  <c r="D53" i="3"/>
  <c r="D47" i="3"/>
  <c r="D40" i="3"/>
  <c r="D41" i="3"/>
  <c r="D42" i="3"/>
  <c r="D43" i="3"/>
  <c r="D44" i="3"/>
  <c r="D45" i="3"/>
  <c r="D39" i="3"/>
  <c r="D15" i="3"/>
  <c r="D16" i="3"/>
  <c r="D17" i="3"/>
  <c r="D18" i="3"/>
  <c r="D19" i="3"/>
  <c r="D20" i="3"/>
  <c r="D14" i="3"/>
  <c r="D34" i="3"/>
  <c r="D35" i="3"/>
  <c r="D36" i="3"/>
  <c r="D37" i="3"/>
  <c r="D24" i="3"/>
  <c r="D25" i="3"/>
  <c r="D26" i="3"/>
  <c r="D27" i="3"/>
  <c r="D28" i="3"/>
  <c r="D29" i="3"/>
  <c r="D30" i="3"/>
  <c r="D31" i="3"/>
  <c r="D32" i="3"/>
  <c r="D33" i="3"/>
  <c r="D23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69" i="3"/>
  <c r="C70" i="3"/>
  <c r="C71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47" i="3"/>
  <c r="C48" i="3"/>
  <c r="C49" i="3"/>
  <c r="C50" i="3"/>
  <c r="C51" i="3"/>
  <c r="C52" i="3"/>
  <c r="C53" i="3"/>
  <c r="C39" i="3"/>
  <c r="C40" i="3"/>
  <c r="C41" i="3"/>
  <c r="C42" i="3"/>
  <c r="C43" i="3"/>
  <c r="C44" i="3"/>
  <c r="C45" i="3"/>
  <c r="C14" i="3"/>
  <c r="C15" i="3"/>
  <c r="C16" i="3"/>
  <c r="C17" i="3"/>
  <c r="C18" i="3"/>
  <c r="C19" i="3"/>
  <c r="C20" i="3"/>
  <c r="B68" i="3"/>
  <c r="B47" i="3"/>
  <c r="B48" i="3"/>
  <c r="B49" i="3"/>
  <c r="B50" i="3"/>
  <c r="B51" i="3"/>
  <c r="B52" i="3"/>
  <c r="B53" i="3"/>
  <c r="B39" i="3"/>
  <c r="B40" i="3"/>
  <c r="B41" i="3"/>
  <c r="B42" i="3"/>
  <c r="B43" i="3"/>
  <c r="B44" i="3"/>
  <c r="B45" i="3"/>
  <c r="B14" i="3"/>
  <c r="B15" i="3"/>
  <c r="B16" i="3"/>
  <c r="B17" i="3"/>
  <c r="B18" i="3"/>
  <c r="B19" i="3"/>
  <c r="B20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C11" i="4"/>
  <c r="C12" i="4"/>
  <c r="C13" i="4"/>
  <c r="C15" i="4"/>
  <c r="C16" i="4"/>
  <c r="C17" i="4"/>
  <c r="C18" i="4"/>
  <c r="C19" i="4"/>
  <c r="C20" i="4"/>
  <c r="C21" i="4"/>
  <c r="C22" i="4"/>
  <c r="C23" i="4"/>
  <c r="C24" i="4"/>
  <c r="C25" i="4"/>
  <c r="B73" i="4"/>
  <c r="G73" i="4"/>
  <c r="F73" i="4"/>
  <c r="D11" i="4"/>
  <c r="E11" i="4"/>
  <c r="D12" i="4"/>
  <c r="E12" i="4"/>
  <c r="D13" i="4"/>
  <c r="E13" i="4"/>
  <c r="D15" i="4"/>
  <c r="E15" i="4"/>
  <c r="D16" i="4"/>
  <c r="E16" i="4"/>
  <c r="D17" i="4"/>
  <c r="E17" i="4"/>
  <c r="D18" i="4"/>
  <c r="E18" i="4"/>
  <c r="D19" i="4"/>
  <c r="E19" i="4"/>
  <c r="D20" i="4"/>
  <c r="E20" i="4"/>
  <c r="D21" i="4"/>
  <c r="E21" i="4"/>
  <c r="D22" i="4"/>
  <c r="E22" i="4"/>
  <c r="D23" i="4"/>
  <c r="E23" i="4"/>
  <c r="D24" i="4"/>
  <c r="E24" i="4"/>
  <c r="E25" i="4"/>
  <c r="D73" i="4"/>
  <c r="I73" i="4"/>
  <c r="K73" i="4"/>
  <c r="C71" i="4"/>
  <c r="B74" i="4"/>
  <c r="G74" i="4"/>
  <c r="F74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D74" i="4"/>
  <c r="I74" i="4"/>
  <c r="K74" i="4"/>
  <c r="C37" i="4"/>
  <c r="C38" i="4"/>
  <c r="C39" i="4"/>
  <c r="C40" i="4"/>
  <c r="C41" i="4"/>
  <c r="C42" i="4"/>
  <c r="C43" i="4"/>
  <c r="B75" i="4"/>
  <c r="G75" i="4"/>
  <c r="F75" i="4"/>
  <c r="C28" i="4"/>
  <c r="D28" i="4"/>
  <c r="C29" i="4"/>
  <c r="D29" i="4"/>
  <c r="C30" i="4"/>
  <c r="D30" i="4"/>
  <c r="C31" i="4"/>
  <c r="D31" i="4"/>
  <c r="C32" i="4"/>
  <c r="D32" i="4"/>
  <c r="C33" i="4"/>
  <c r="D33" i="4"/>
  <c r="D34" i="4"/>
  <c r="E34" i="4"/>
  <c r="D75" i="4"/>
  <c r="I75" i="4"/>
  <c r="K75" i="4"/>
  <c r="C45" i="4"/>
  <c r="C46" i="4"/>
  <c r="C47" i="4"/>
  <c r="C48" i="4"/>
  <c r="C49" i="4"/>
  <c r="C50" i="4"/>
  <c r="C51" i="4"/>
  <c r="B76" i="4"/>
  <c r="G76" i="4"/>
  <c r="F76" i="4"/>
  <c r="E45" i="4"/>
  <c r="E46" i="4"/>
  <c r="E47" i="4"/>
  <c r="E48" i="4"/>
  <c r="E49" i="4"/>
  <c r="E50" i="4"/>
  <c r="E51" i="4"/>
  <c r="D76" i="4"/>
  <c r="I76" i="4"/>
  <c r="K76" i="4"/>
  <c r="C54" i="4"/>
  <c r="C55" i="4"/>
  <c r="C56" i="4"/>
  <c r="B77" i="4"/>
  <c r="G77" i="4"/>
  <c r="D77" i="4"/>
  <c r="I77" i="4"/>
  <c r="K77" i="4"/>
  <c r="B78" i="4"/>
  <c r="G78" i="4"/>
  <c r="F78" i="4"/>
  <c r="E37" i="4"/>
  <c r="E38" i="4"/>
  <c r="E39" i="4"/>
  <c r="E40" i="4"/>
  <c r="E41" i="4"/>
  <c r="E42" i="4"/>
  <c r="E43" i="4"/>
  <c r="D78" i="4"/>
  <c r="I78" i="4"/>
  <c r="K78" i="4"/>
  <c r="K79" i="4"/>
  <c r="K81" i="4"/>
  <c r="D79" i="4"/>
  <c r="D81" i="4"/>
  <c r="D25" i="4"/>
  <c r="C73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C74" i="4"/>
  <c r="C75" i="4"/>
  <c r="D45" i="4"/>
  <c r="D46" i="4"/>
  <c r="D47" i="4"/>
  <c r="D48" i="4"/>
  <c r="D49" i="4"/>
  <c r="D50" i="4"/>
  <c r="D51" i="4"/>
  <c r="C76" i="4"/>
  <c r="C77" i="4"/>
  <c r="D37" i="4"/>
  <c r="D38" i="4"/>
  <c r="D39" i="4"/>
  <c r="D40" i="4"/>
  <c r="D41" i="4"/>
  <c r="D42" i="4"/>
  <c r="D43" i="4"/>
  <c r="C78" i="4"/>
  <c r="C79" i="4"/>
  <c r="C81" i="4"/>
  <c r="B79" i="4"/>
  <c r="B81" i="4"/>
  <c r="H78" i="4"/>
  <c r="J78" i="4"/>
  <c r="H77" i="4"/>
  <c r="J77" i="4"/>
  <c r="H76" i="4"/>
  <c r="J76" i="4"/>
  <c r="H75" i="4"/>
  <c r="J75" i="4"/>
  <c r="H74" i="4"/>
  <c r="J74" i="4"/>
  <c r="H73" i="4"/>
  <c r="J73" i="4"/>
  <c r="E54" i="4"/>
  <c r="E55" i="4"/>
  <c r="E56" i="4"/>
  <c r="D54" i="4"/>
  <c r="D55" i="4"/>
  <c r="D56" i="4"/>
  <c r="H37" i="4"/>
  <c r="L37" i="4"/>
  <c r="H38" i="4"/>
  <c r="L38" i="4"/>
  <c r="H39" i="4"/>
  <c r="L39" i="4"/>
  <c r="H40" i="4"/>
  <c r="L40" i="4"/>
  <c r="H41" i="4"/>
  <c r="L41" i="4"/>
  <c r="H42" i="4"/>
  <c r="L42" i="4"/>
  <c r="L43" i="4"/>
  <c r="H54" i="4"/>
  <c r="H14" i="4"/>
  <c r="G54" i="4"/>
  <c r="J54" i="4"/>
  <c r="L54" i="4"/>
  <c r="H55" i="4"/>
  <c r="H15" i="4"/>
  <c r="G55" i="4"/>
  <c r="J55" i="4"/>
  <c r="L55" i="4"/>
  <c r="L56" i="4"/>
  <c r="H47" i="4"/>
  <c r="G47" i="4"/>
  <c r="J47" i="4"/>
  <c r="L45" i="4"/>
  <c r="H48" i="4"/>
  <c r="G48" i="4"/>
  <c r="J48" i="4"/>
  <c r="L46" i="4"/>
  <c r="H49" i="4"/>
  <c r="J49" i="4"/>
  <c r="L47" i="4"/>
  <c r="H50" i="4"/>
  <c r="J50" i="4"/>
  <c r="L48" i="4"/>
  <c r="L49" i="4"/>
  <c r="L50" i="4"/>
  <c r="L51" i="4"/>
  <c r="H58" i="4"/>
  <c r="G58" i="4"/>
  <c r="J58" i="4"/>
  <c r="L58" i="4"/>
  <c r="H59" i="4"/>
  <c r="G59" i="4"/>
  <c r="J59" i="4"/>
  <c r="L59" i="4"/>
  <c r="H60" i="4"/>
  <c r="G60" i="4"/>
  <c r="J60" i="4"/>
  <c r="L60" i="4"/>
  <c r="H61" i="4"/>
  <c r="G61" i="4"/>
  <c r="J61" i="4"/>
  <c r="L61" i="4"/>
  <c r="H62" i="4"/>
  <c r="G62" i="4"/>
  <c r="J62" i="4"/>
  <c r="L62" i="4"/>
  <c r="H63" i="4"/>
  <c r="G63" i="4"/>
  <c r="J63" i="4"/>
  <c r="L63" i="4"/>
  <c r="H64" i="4"/>
  <c r="G64" i="4"/>
  <c r="J64" i="4"/>
  <c r="L64" i="4"/>
  <c r="H65" i="4"/>
  <c r="G65" i="4"/>
  <c r="J65" i="4"/>
  <c r="L65" i="4"/>
  <c r="H66" i="4"/>
  <c r="G66" i="4"/>
  <c r="J66" i="4"/>
  <c r="L66" i="4"/>
  <c r="H67" i="4"/>
  <c r="G67" i="4"/>
  <c r="J67" i="4"/>
  <c r="L67" i="4"/>
  <c r="H68" i="4"/>
  <c r="G68" i="4"/>
  <c r="J68" i="4"/>
  <c r="L68" i="4"/>
  <c r="H69" i="4"/>
  <c r="G69" i="4"/>
  <c r="J69" i="4"/>
  <c r="L69" i="4"/>
  <c r="H70" i="4"/>
  <c r="G70" i="4"/>
  <c r="J70" i="4"/>
  <c r="L70" i="4"/>
  <c r="L71" i="4"/>
  <c r="I70" i="4"/>
  <c r="K70" i="4"/>
  <c r="I69" i="4"/>
  <c r="K69" i="4"/>
  <c r="I68" i="4"/>
  <c r="K68" i="4"/>
  <c r="I67" i="4"/>
  <c r="K67" i="4"/>
  <c r="I66" i="4"/>
  <c r="K66" i="4"/>
  <c r="I65" i="4"/>
  <c r="K65" i="4"/>
  <c r="I64" i="4"/>
  <c r="K64" i="4"/>
  <c r="I63" i="4"/>
  <c r="K63" i="4"/>
  <c r="I62" i="4"/>
  <c r="K62" i="4"/>
  <c r="I61" i="4"/>
  <c r="K61" i="4"/>
  <c r="I60" i="4"/>
  <c r="K60" i="4"/>
  <c r="I59" i="4"/>
  <c r="K59" i="4"/>
  <c r="I58" i="4"/>
  <c r="K58" i="4"/>
  <c r="I55" i="4"/>
  <c r="K55" i="4"/>
  <c r="I54" i="4"/>
  <c r="K54" i="4"/>
  <c r="D23" i="5"/>
  <c r="I50" i="4"/>
  <c r="K50" i="4"/>
  <c r="I49" i="4"/>
  <c r="K49" i="4"/>
  <c r="I48" i="4"/>
  <c r="K48" i="4"/>
  <c r="I47" i="4"/>
  <c r="K47" i="4"/>
  <c r="G46" i="4"/>
  <c r="I46" i="4"/>
  <c r="J46" i="4"/>
  <c r="K46" i="4"/>
  <c r="G45" i="4"/>
  <c r="J45" i="4"/>
  <c r="I45" i="4"/>
  <c r="K45" i="4"/>
  <c r="H46" i="4"/>
  <c r="H45" i="4"/>
  <c r="G42" i="4"/>
  <c r="I42" i="4"/>
  <c r="J42" i="4"/>
  <c r="K42" i="4"/>
  <c r="G41" i="4"/>
  <c r="I41" i="4"/>
  <c r="J41" i="4"/>
  <c r="K41" i="4"/>
  <c r="G40" i="4"/>
  <c r="I40" i="4"/>
  <c r="J40" i="4"/>
  <c r="K40" i="4"/>
  <c r="G39" i="4"/>
  <c r="I39" i="4"/>
  <c r="J39" i="4"/>
  <c r="K39" i="4"/>
  <c r="G38" i="4"/>
  <c r="I38" i="4"/>
  <c r="J38" i="4"/>
  <c r="K38" i="4"/>
  <c r="G37" i="4"/>
  <c r="I37" i="4"/>
  <c r="J37" i="4"/>
  <c r="K37" i="4"/>
  <c r="H30" i="4"/>
  <c r="E30" i="4"/>
  <c r="G30" i="4"/>
  <c r="J30" i="4"/>
  <c r="L30" i="4"/>
  <c r="H32" i="4"/>
  <c r="E32" i="4"/>
  <c r="G32" i="4"/>
  <c r="J32" i="4"/>
  <c r="L32" i="4"/>
  <c r="H28" i="4"/>
  <c r="E28" i="4"/>
  <c r="G28" i="4"/>
  <c r="J28" i="4"/>
  <c r="L28" i="4"/>
  <c r="H29" i="4"/>
  <c r="E29" i="4"/>
  <c r="G29" i="4"/>
  <c r="J29" i="4"/>
  <c r="L29" i="4"/>
  <c r="H31" i="4"/>
  <c r="E31" i="4"/>
  <c r="G31" i="4"/>
  <c r="J31" i="4"/>
  <c r="L31" i="4"/>
  <c r="H33" i="4"/>
  <c r="E33" i="4"/>
  <c r="G33" i="4"/>
  <c r="J33" i="4"/>
  <c r="L33" i="4"/>
  <c r="L34" i="4"/>
  <c r="C34" i="4"/>
  <c r="I33" i="4"/>
  <c r="K33" i="4"/>
  <c r="I32" i="4"/>
  <c r="K32" i="4"/>
  <c r="I31" i="4"/>
  <c r="K31" i="4"/>
  <c r="I30" i="4"/>
  <c r="K30" i="4"/>
  <c r="I29" i="4"/>
  <c r="K29" i="4"/>
  <c r="I28" i="4"/>
  <c r="K28" i="4"/>
  <c r="H11" i="4"/>
  <c r="J11" i="4"/>
  <c r="L11" i="4"/>
  <c r="H12" i="4"/>
  <c r="G12" i="4"/>
  <c r="J12" i="4"/>
  <c r="L12" i="4"/>
  <c r="H13" i="4"/>
  <c r="G13" i="4"/>
  <c r="J13" i="4"/>
  <c r="L13" i="4"/>
  <c r="G14" i="4"/>
  <c r="J14" i="4"/>
  <c r="L14" i="4"/>
  <c r="G15" i="4"/>
  <c r="J15" i="4"/>
  <c r="L15" i="4"/>
  <c r="H16" i="4"/>
  <c r="G16" i="4"/>
  <c r="J16" i="4"/>
  <c r="L16" i="4"/>
  <c r="H17" i="4"/>
  <c r="G17" i="4"/>
  <c r="J17" i="4"/>
  <c r="L17" i="4"/>
  <c r="H18" i="4"/>
  <c r="G18" i="4"/>
  <c r="J18" i="4"/>
  <c r="L18" i="4"/>
  <c r="H19" i="4"/>
  <c r="G19" i="4"/>
  <c r="J19" i="4"/>
  <c r="L19" i="4"/>
  <c r="H20" i="4"/>
  <c r="G20" i="4"/>
  <c r="J20" i="4"/>
  <c r="L20" i="4"/>
  <c r="H21" i="4"/>
  <c r="G21" i="4"/>
  <c r="J21" i="4"/>
  <c r="L21" i="4"/>
  <c r="H22" i="4"/>
  <c r="G22" i="4"/>
  <c r="J22" i="4"/>
  <c r="L22" i="4"/>
  <c r="H23" i="4"/>
  <c r="G23" i="4"/>
  <c r="J23" i="4"/>
  <c r="L23" i="4"/>
  <c r="H24" i="4"/>
  <c r="G24" i="4"/>
  <c r="J24" i="4"/>
  <c r="L24" i="4"/>
  <c r="L25" i="4"/>
  <c r="I17" i="4"/>
  <c r="K17" i="4"/>
  <c r="I24" i="4"/>
  <c r="K24" i="4"/>
  <c r="I23" i="4"/>
  <c r="K23" i="4"/>
  <c r="I22" i="4"/>
  <c r="K22" i="4"/>
  <c r="I21" i="4"/>
  <c r="K21" i="4"/>
  <c r="I20" i="4"/>
  <c r="K20" i="4"/>
  <c r="I19" i="4"/>
  <c r="K19" i="4"/>
  <c r="I18" i="4"/>
  <c r="K18" i="4"/>
  <c r="I16" i="4"/>
  <c r="K16" i="4"/>
  <c r="I15" i="4"/>
  <c r="K15" i="4"/>
  <c r="I14" i="4"/>
  <c r="K14" i="4"/>
  <c r="I13" i="4"/>
  <c r="K13" i="4"/>
  <c r="I12" i="4"/>
  <c r="K12" i="4"/>
  <c r="I11" i="4"/>
  <c r="K11" i="4"/>
  <c r="M4" i="3"/>
  <c r="M21" i="5"/>
  <c r="M9" i="5"/>
  <c r="M10" i="5"/>
  <c r="M11" i="5"/>
  <c r="M12" i="5"/>
  <c r="M13" i="5"/>
  <c r="M14" i="5"/>
  <c r="M15" i="5"/>
  <c r="M16" i="5"/>
  <c r="M17" i="5"/>
  <c r="M18" i="5"/>
  <c r="M19" i="5"/>
  <c r="M20" i="5"/>
  <c r="M8" i="5"/>
  <c r="K21" i="5"/>
  <c r="J9" i="5"/>
  <c r="J10" i="5"/>
  <c r="J11" i="5"/>
  <c r="J12" i="5"/>
  <c r="J13" i="5"/>
  <c r="J14" i="5"/>
  <c r="J15" i="5"/>
  <c r="J16" i="5"/>
  <c r="J17" i="5"/>
  <c r="J18" i="5"/>
  <c r="J19" i="5"/>
  <c r="J20" i="5"/>
  <c r="J8" i="5"/>
  <c r="K9" i="5"/>
  <c r="K10" i="5"/>
  <c r="K11" i="5"/>
  <c r="K12" i="5"/>
  <c r="K13" i="5"/>
  <c r="K14" i="5"/>
  <c r="K15" i="5"/>
  <c r="K16" i="5"/>
  <c r="K17" i="5"/>
  <c r="K18" i="5"/>
  <c r="K19" i="5"/>
  <c r="K20" i="5"/>
  <c r="K8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7" i="5"/>
  <c r="D21" i="5"/>
  <c r="H20" i="5"/>
  <c r="H19" i="5"/>
  <c r="H18" i="5"/>
  <c r="H17" i="5"/>
  <c r="H16" i="5"/>
  <c r="H15" i="5"/>
  <c r="H14" i="5"/>
  <c r="H11" i="5"/>
  <c r="H12" i="5"/>
  <c r="H10" i="5"/>
  <c r="H13" i="5"/>
  <c r="H9" i="5"/>
  <c r="H8" i="5"/>
  <c r="E8" i="5"/>
  <c r="F8" i="5"/>
  <c r="E9" i="5"/>
  <c r="F9" i="5"/>
  <c r="E10" i="5"/>
  <c r="F10" i="5"/>
  <c r="E11" i="5"/>
  <c r="F11" i="5"/>
  <c r="E12" i="5"/>
  <c r="F12" i="5"/>
  <c r="E13" i="5"/>
  <c r="F13" i="5"/>
  <c r="E14" i="5"/>
  <c r="F14" i="5"/>
  <c r="E15" i="5"/>
  <c r="F15" i="5"/>
  <c r="E16" i="5"/>
  <c r="F16" i="5"/>
  <c r="E17" i="5"/>
  <c r="F17" i="5"/>
  <c r="E18" i="5"/>
  <c r="F18" i="5"/>
  <c r="E19" i="5"/>
  <c r="F19" i="5"/>
  <c r="E20" i="5"/>
  <c r="F20" i="5"/>
  <c r="F7" i="5"/>
  <c r="E7" i="5"/>
</calcChain>
</file>

<file path=xl/sharedStrings.xml><?xml version="1.0" encoding="utf-8"?>
<sst xmlns="http://schemas.openxmlformats.org/spreadsheetml/2006/main" count="472" uniqueCount="151">
  <si>
    <t>China</t>
  </si>
  <si>
    <t>Hong Kong, China</t>
  </si>
  <si>
    <t>India</t>
  </si>
  <si>
    <t>Indonesia</t>
  </si>
  <si>
    <t>Japan</t>
  </si>
  <si>
    <t>Malaysia</t>
  </si>
  <si>
    <t>Philippines</t>
  </si>
  <si>
    <t>Singapore</t>
  </si>
  <si>
    <t>South Korea</t>
  </si>
  <si>
    <t>Taiwan</t>
  </si>
  <si>
    <t>Thailand</t>
  </si>
  <si>
    <t>Vietnam</t>
  </si>
  <si>
    <t>Australasia</t>
  </si>
  <si>
    <t>Australia</t>
  </si>
  <si>
    <t xml:space="preserve">annual sales </t>
  </si>
  <si>
    <t>Average Daily Sales in units (d)</t>
  </si>
  <si>
    <t>Standard Deviation of Daily Sales (sigma d)</t>
  </si>
  <si>
    <t>Distance to the Warehouse</t>
  </si>
  <si>
    <t>Lead Time for Trucking (days) +1 Loading</t>
  </si>
  <si>
    <t>EOQ</t>
  </si>
  <si>
    <t>standard deviation</t>
  </si>
  <si>
    <t>ordering cost</t>
  </si>
  <si>
    <t xml:space="preserve">truck </t>
  </si>
  <si>
    <t>cost of each item</t>
  </si>
  <si>
    <t>annual holding cost</t>
  </si>
  <si>
    <t>total</t>
  </si>
  <si>
    <t>truck fuel per milage</t>
  </si>
  <si>
    <t>pallets</t>
  </si>
  <si>
    <t>40x28x48</t>
  </si>
  <si>
    <t>master carton</t>
  </si>
  <si>
    <t>shipping cost</t>
  </si>
  <si>
    <t>cost of truck per mile</t>
  </si>
  <si>
    <t>fuel cost</t>
  </si>
  <si>
    <t xml:space="preserve">warehouse </t>
  </si>
  <si>
    <t>china</t>
  </si>
  <si>
    <t xml:space="preserve">total reigonal transportaion cost </t>
  </si>
  <si>
    <t xml:space="preserve">each row </t>
  </si>
  <si>
    <t>annual transportation cost</t>
  </si>
  <si>
    <t>Asia pacific</t>
  </si>
  <si>
    <t>quantity per box</t>
  </si>
  <si>
    <t xml:space="preserve">     Cost of Each Item</t>
  </si>
  <si>
    <t xml:space="preserve">     Holding Cost as %</t>
  </si>
  <si>
    <t xml:space="preserve">     Annual Holding Cost</t>
  </si>
  <si>
    <t xml:space="preserve">     Ordering Cost</t>
  </si>
  <si>
    <t xml:space="preserve">     Miles per Day (Truck)</t>
  </si>
  <si>
    <t xml:space="preserve">     Desired Service Level (p)</t>
  </si>
  <si>
    <t xml:space="preserve">     Standard Deviation of Daily Demand</t>
  </si>
  <si>
    <t xml:space="preserve">Retail locations </t>
  </si>
  <si>
    <t>anuual sales(2017)</t>
  </si>
  <si>
    <t>annual daily sales</t>
  </si>
  <si>
    <t>distance to warehouse</t>
  </si>
  <si>
    <t>Base Reorder Point R</t>
  </si>
  <si>
    <t>Safety Stock SS</t>
  </si>
  <si>
    <t>Reorder Point R</t>
  </si>
  <si>
    <t>Annual Inventory Cost</t>
  </si>
  <si>
    <t>Assigned to Warehouse</t>
  </si>
  <si>
    <t>miles per day (boat)</t>
  </si>
  <si>
    <t>asia pacific</t>
  </si>
  <si>
    <t>Latin america</t>
  </si>
  <si>
    <t>Argentina</t>
  </si>
  <si>
    <t>Brazil</t>
  </si>
  <si>
    <t>Chile</t>
  </si>
  <si>
    <t>Colombia</t>
  </si>
  <si>
    <t>Mexico</t>
  </si>
  <si>
    <t>Venezuela</t>
  </si>
  <si>
    <t>Annual Sales (units)</t>
  </si>
  <si>
    <t>venzuela</t>
  </si>
  <si>
    <t>Eastern Europe</t>
  </si>
  <si>
    <t>Czech Republic</t>
  </si>
  <si>
    <t>Hungary</t>
  </si>
  <si>
    <t>Poland</t>
  </si>
  <si>
    <t>Romania</t>
  </si>
  <si>
    <t>Russia</t>
  </si>
  <si>
    <t>Ukraine</t>
  </si>
  <si>
    <t>middle east &amp; africa</t>
  </si>
  <si>
    <t>ukraine</t>
  </si>
  <si>
    <t>Egypt</t>
  </si>
  <si>
    <t>Israel</t>
  </si>
  <si>
    <t>Morocco</t>
  </si>
  <si>
    <t>Saudi Arabia</t>
  </si>
  <si>
    <t>South Africa</t>
  </si>
  <si>
    <t>United Arab Emirates</t>
  </si>
  <si>
    <t>saudi arabia</t>
  </si>
  <si>
    <t>North America</t>
  </si>
  <si>
    <t>Canada</t>
  </si>
  <si>
    <t>USA</t>
  </si>
  <si>
    <t>Western Europe</t>
  </si>
  <si>
    <t>Austria</t>
  </si>
  <si>
    <t>Denmark</t>
  </si>
  <si>
    <t>France</t>
  </si>
  <si>
    <t>Germany</t>
  </si>
  <si>
    <t>Greece</t>
  </si>
  <si>
    <t>Italy</t>
  </si>
  <si>
    <t>Netherlands</t>
  </si>
  <si>
    <t>Norway</t>
  </si>
  <si>
    <t>Portugal</t>
  </si>
  <si>
    <t>Spain</t>
  </si>
  <si>
    <t>Sweden</t>
  </si>
  <si>
    <t>Turkey</t>
  </si>
  <si>
    <t>United Kingdom</t>
  </si>
  <si>
    <t>usa</t>
  </si>
  <si>
    <r>
      <rPr>
        <b/>
        <sz val="16"/>
        <color theme="1"/>
        <rFont val="Calibri (Body)"/>
      </rPr>
      <t>inventory</t>
    </r>
    <r>
      <rPr>
        <sz val="16"/>
        <color theme="1"/>
        <rFont val="Calibri (Body)"/>
      </rPr>
      <t xml:space="preserve"> </t>
    </r>
    <r>
      <rPr>
        <b/>
        <sz val="16"/>
        <color theme="1"/>
        <rFont val="Calibri (Body)"/>
      </rPr>
      <t>cost</t>
    </r>
  </si>
  <si>
    <t>Warehouse Locations</t>
  </si>
  <si>
    <t>france</t>
  </si>
  <si>
    <t>Distance to the Factory</t>
  </si>
  <si>
    <t>assinged to factory</t>
  </si>
  <si>
    <t>totals</t>
  </si>
  <si>
    <t xml:space="preserve">factory location </t>
  </si>
  <si>
    <t>air cargo</t>
  </si>
  <si>
    <t>air cargo milage</t>
  </si>
  <si>
    <t>latin america</t>
  </si>
  <si>
    <t>eastern europe</t>
  </si>
  <si>
    <t>western europe</t>
  </si>
  <si>
    <t>holding cost</t>
  </si>
  <si>
    <t xml:space="preserve">dimensions </t>
  </si>
  <si>
    <t>annual sales</t>
  </si>
  <si>
    <t>cost per order</t>
  </si>
  <si>
    <t># of orders</t>
  </si>
  <si>
    <t xml:space="preserve">% of truck </t>
  </si>
  <si>
    <t xml:space="preserve">annual demand </t>
  </si>
  <si>
    <t xml:space="preserve">iphone box </t>
  </si>
  <si>
    <t>w</t>
  </si>
  <si>
    <t>d</t>
  </si>
  <si>
    <t>h</t>
  </si>
  <si>
    <t xml:space="preserve">pallet </t>
  </si>
  <si>
    <t>aircargo</t>
  </si>
  <si>
    <t>boat</t>
  </si>
  <si>
    <t>cu</t>
  </si>
  <si>
    <t>53"truck</t>
  </si>
  <si>
    <t>capacity</t>
  </si>
  <si>
    <t xml:space="preserve">total transportation </t>
  </si>
  <si>
    <t>north America</t>
  </si>
  <si>
    <t>canada</t>
  </si>
  <si>
    <t>North america</t>
  </si>
  <si>
    <t xml:space="preserve"># of orders </t>
  </si>
  <si>
    <t>iphones</t>
  </si>
  <si>
    <t xml:space="preserve">cost per order </t>
  </si>
  <si>
    <t>truck</t>
  </si>
  <si>
    <t>13 on each row</t>
  </si>
  <si>
    <t>10 on each pallet</t>
  </si>
  <si>
    <t xml:space="preserve"># of iphone per truck </t>
  </si>
  <si>
    <t>truck cost per milage</t>
  </si>
  <si>
    <t xml:space="preserve">boat cost per milage </t>
  </si>
  <si>
    <t xml:space="preserve">aircargo </t>
  </si>
  <si>
    <t>total transportaion cost</t>
  </si>
  <si>
    <t>total transportation cost</t>
  </si>
  <si>
    <t>total transportion cost</t>
  </si>
  <si>
    <t>transportation cost</t>
  </si>
  <si>
    <t>Factory</t>
  </si>
  <si>
    <t>total tranportation cost (factory)</t>
  </si>
  <si>
    <t>warehouse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</si>
</sst>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[$$-409]* #,##0.00_);_([$$-409]* \(#,##0.00\);_([$$-409]* &quot;-&quot;??_);_(@_)"/>
    <numFmt numFmtId="167" formatCode="_(* #,##0.000_);_(* \(#,##0.000\);_(* &quot;-&quot;??_);_(@_)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sz val="16"/>
      <color theme="1"/>
      <name val="Calibri (Body)"/>
    </font>
    <font>
      <b/>
      <sz val="16"/>
      <color theme="1"/>
      <name val="Calibri (Body)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</font>
    <font>
      <b/>
      <sz val="18"/>
      <color theme="1"/>
      <name val="Calibri (Body)"/>
    </font>
    <font>
      <b/>
      <sz val="14"/>
      <color theme="1"/>
      <name val="Calibri (Body)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4" fillId="2" borderId="0" xfId="0" applyFont="1" applyFill="1"/>
    <xf numFmtId="164" fontId="0" fillId="0" borderId="0" xfId="1" applyNumberFormat="1" applyFont="1" applyAlignment="1">
      <alignment horizontal="right"/>
    </xf>
    <xf numFmtId="3" fontId="5" fillId="0" borderId="0" xfId="0" applyNumberFormat="1" applyFont="1"/>
    <xf numFmtId="43" fontId="0" fillId="0" borderId="0" xfId="1" applyFont="1"/>
    <xf numFmtId="164" fontId="6" fillId="0" borderId="0" xfId="1" applyNumberFormat="1" applyFont="1" applyAlignment="1">
      <alignment horizontal="right"/>
    </xf>
    <xf numFmtId="0" fontId="6" fillId="0" borderId="0" xfId="0" applyFont="1"/>
    <xf numFmtId="4" fontId="6" fillId="0" borderId="0" xfId="0" applyNumberFormat="1" applyFont="1"/>
    <xf numFmtId="4" fontId="0" fillId="0" borderId="0" xfId="0" applyNumberFormat="1"/>
    <xf numFmtId="166" fontId="0" fillId="0" borderId="0" xfId="0" applyNumberFormat="1"/>
    <xf numFmtId="43" fontId="0" fillId="0" borderId="0" xfId="0" applyNumberFormat="1"/>
    <xf numFmtId="0" fontId="6" fillId="0" borderId="0" xfId="0" applyFont="1" applyAlignment="1">
      <alignment horizontal="right" wrapText="1"/>
    </xf>
    <xf numFmtId="167" fontId="0" fillId="0" borderId="0" xfId="0" applyNumberFormat="1"/>
    <xf numFmtId="167" fontId="0" fillId="0" borderId="0" xfId="1" applyNumberFormat="1" applyFont="1"/>
    <xf numFmtId="9" fontId="0" fillId="0" borderId="0" xfId="0" applyNumberFormat="1"/>
    <xf numFmtId="165" fontId="0" fillId="0" borderId="0" xfId="1" applyNumberFormat="1" applyFont="1"/>
    <xf numFmtId="166" fontId="0" fillId="0" borderId="0" xfId="1" applyNumberFormat="1" applyFont="1"/>
    <xf numFmtId="43" fontId="0" fillId="0" borderId="0" xfId="1" applyFont="1" applyAlignment="1">
      <alignment horizontal="right"/>
    </xf>
    <xf numFmtId="0" fontId="0" fillId="3" borderId="0" xfId="0" applyFill="1"/>
    <xf numFmtId="0" fontId="7" fillId="0" borderId="0" xfId="0" applyFont="1"/>
    <xf numFmtId="164" fontId="0" fillId="0" borderId="0" xfId="1" applyNumberFormat="1" applyFont="1"/>
    <xf numFmtId="4" fontId="3" fillId="0" borderId="0" xfId="0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6" fillId="0" borderId="0" xfId="1" applyNumberFormat="1" applyFont="1" applyAlignment="1">
      <alignment horizontal="center"/>
    </xf>
    <xf numFmtId="165" fontId="0" fillId="0" borderId="0" xfId="0" applyNumberFormat="1"/>
    <xf numFmtId="164" fontId="3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0" fontId="3" fillId="4" borderId="0" xfId="0" applyFont="1" applyFill="1"/>
    <xf numFmtId="164" fontId="3" fillId="4" borderId="0" xfId="1" applyNumberFormat="1" applyFont="1" applyFill="1" applyAlignment="1">
      <alignment horizontal="right"/>
    </xf>
    <xf numFmtId="0" fontId="3" fillId="4" borderId="0" xfId="0" applyFont="1" applyFill="1" applyAlignment="1">
      <alignment horizontal="right"/>
    </xf>
    <xf numFmtId="3" fontId="0" fillId="0" borderId="0" xfId="0" applyNumberFormat="1"/>
    <xf numFmtId="9" fontId="0" fillId="0" borderId="0" xfId="2" applyFont="1"/>
    <xf numFmtId="0" fontId="10" fillId="5" borderId="0" xfId="0" applyFont="1" applyFill="1"/>
    <xf numFmtId="0" fontId="7" fillId="5" borderId="0" xfId="0" applyFont="1" applyFill="1"/>
    <xf numFmtId="0" fontId="11" fillId="5" borderId="0" xfId="0" applyFont="1" applyFill="1"/>
    <xf numFmtId="0" fontId="0" fillId="5" borderId="0" xfId="0" applyFill="1"/>
    <xf numFmtId="0" fontId="12" fillId="5" borderId="0" xfId="0" applyFont="1" applyFill="1"/>
    <xf numFmtId="164" fontId="9" fillId="0" borderId="0" xfId="1" applyNumberFormat="1" applyFont="1" applyAlignment="1">
      <alignment horizontal="right"/>
    </xf>
    <xf numFmtId="166" fontId="13" fillId="5" borderId="0" xfId="0" applyNumberFormat="1" applyFont="1" applyFill="1"/>
  </cellXfs>
  <cellStyles count="7">
    <cellStyle name="Comma" xfId="1" builtinId="3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Percent" xfId="2" builtinId="5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(Body)"/>
        <scheme val="none"/>
      </font>
      <fill>
        <patternFill patternType="solid">
          <fgColor indexed="64"/>
          <bgColor theme="2" tint="-0.24997711111789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(Body)"/>
        <scheme val="none"/>
      </font>
      <numFmt numFmtId="164" formatCode="_(* #,##0_);_(* \(#,##0\);_(* &quot;-&quot;??_);_(@_)"/>
      <alignment horizontal="right" vertical="bottom" textRotation="0" wrapText="0" indent="0" justifyLastLine="0" shrinkToFit="0" readingOrder="0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101601</xdr:rowOff>
    </xdr:to>
    <xdr:sp macro="" textlink="">
      <xdr:nvSpPr>
        <xdr:cNvPr id="2" name="AutoShape 1" descr="476134638652.jpg"/>
        <xdr:cNvSpPr>
          <a:spLocks noChangeAspect="1" noChangeArrowheads="1"/>
        </xdr:cNvSpPr>
      </xdr:nvSpPr>
      <xdr:spPr bwMode="auto">
        <a:xfrm>
          <a:off x="2362200" y="44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101601</xdr:rowOff>
    </xdr:to>
    <xdr:sp macro="" textlink="">
      <xdr:nvSpPr>
        <xdr:cNvPr id="3" name="AutoShape 2" descr="476134638652.jpg"/>
        <xdr:cNvSpPr>
          <a:spLocks noChangeAspect="1" noChangeArrowheads="1"/>
        </xdr:cNvSpPr>
      </xdr:nvSpPr>
      <xdr:spPr bwMode="auto">
        <a:xfrm>
          <a:off x="2362200" y="44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3</xdr:row>
      <xdr:rowOff>101598</xdr:rowOff>
    </xdr:to>
    <xdr:sp macro="" textlink="">
      <xdr:nvSpPr>
        <xdr:cNvPr id="4" name="AutoShape 1" descr="476134638652.jpg"/>
        <xdr:cNvSpPr>
          <a:spLocks noChangeAspect="1" noChangeArrowheads="1"/>
        </xdr:cNvSpPr>
      </xdr:nvSpPr>
      <xdr:spPr bwMode="auto">
        <a:xfrm>
          <a:off x="2362200" y="647700"/>
          <a:ext cx="304800" cy="30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3</xdr:row>
      <xdr:rowOff>101598</xdr:rowOff>
    </xdr:to>
    <xdr:sp macro="" textlink="">
      <xdr:nvSpPr>
        <xdr:cNvPr id="5" name="AutoShape 2" descr="476134638652.jpg"/>
        <xdr:cNvSpPr>
          <a:spLocks noChangeAspect="1" noChangeArrowheads="1"/>
        </xdr:cNvSpPr>
      </xdr:nvSpPr>
      <xdr:spPr bwMode="auto">
        <a:xfrm>
          <a:off x="2362200" y="647700"/>
          <a:ext cx="304800" cy="30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101599</xdr:rowOff>
    </xdr:to>
    <xdr:sp macro="" textlink="">
      <xdr:nvSpPr>
        <xdr:cNvPr id="6" name="AutoShape 2" descr="476134638652.jpg"/>
        <xdr:cNvSpPr>
          <a:spLocks noChangeAspect="1" noChangeArrowheads="1"/>
        </xdr:cNvSpPr>
      </xdr:nvSpPr>
      <xdr:spPr bwMode="auto">
        <a:xfrm>
          <a:off x="2362200" y="850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5</xdr:row>
      <xdr:rowOff>101601</xdr:rowOff>
    </xdr:to>
    <xdr:sp macro="" textlink="">
      <xdr:nvSpPr>
        <xdr:cNvPr id="7" name="AutoShape 1" descr="476134638652.jpg"/>
        <xdr:cNvSpPr>
          <a:spLocks noChangeAspect="1" noChangeArrowheads="1"/>
        </xdr:cNvSpPr>
      </xdr:nvSpPr>
      <xdr:spPr bwMode="auto">
        <a:xfrm>
          <a:off x="2362200" y="10541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5</xdr:row>
      <xdr:rowOff>101601</xdr:rowOff>
    </xdr:to>
    <xdr:sp macro="" textlink="">
      <xdr:nvSpPr>
        <xdr:cNvPr id="8" name="AutoShape 2" descr="476134638652.jpg"/>
        <xdr:cNvSpPr>
          <a:spLocks noChangeAspect="1" noChangeArrowheads="1"/>
        </xdr:cNvSpPr>
      </xdr:nvSpPr>
      <xdr:spPr bwMode="auto">
        <a:xfrm>
          <a:off x="2362200" y="10541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5</xdr:row>
      <xdr:rowOff>101601</xdr:rowOff>
    </xdr:to>
    <xdr:sp macro="" textlink="">
      <xdr:nvSpPr>
        <xdr:cNvPr id="9" name="AutoShape 1" descr="476134638652.jpg"/>
        <xdr:cNvSpPr>
          <a:spLocks noChangeAspect="1" noChangeArrowheads="1"/>
        </xdr:cNvSpPr>
      </xdr:nvSpPr>
      <xdr:spPr bwMode="auto">
        <a:xfrm>
          <a:off x="2362200" y="10541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5</xdr:row>
      <xdr:rowOff>101601</xdr:rowOff>
    </xdr:to>
    <xdr:sp macro="" textlink="">
      <xdr:nvSpPr>
        <xdr:cNvPr id="10" name="AutoShape 2" descr="476134638652.jpg"/>
        <xdr:cNvSpPr>
          <a:spLocks noChangeAspect="1" noChangeArrowheads="1"/>
        </xdr:cNvSpPr>
      </xdr:nvSpPr>
      <xdr:spPr bwMode="auto">
        <a:xfrm>
          <a:off x="2362200" y="10541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101598</xdr:rowOff>
    </xdr:to>
    <xdr:sp macro="" textlink="">
      <xdr:nvSpPr>
        <xdr:cNvPr id="11" name="AutoShape 1" descr="476134638652.jpg"/>
        <xdr:cNvSpPr>
          <a:spLocks noChangeAspect="1" noChangeArrowheads="1"/>
        </xdr:cNvSpPr>
      </xdr:nvSpPr>
      <xdr:spPr bwMode="auto">
        <a:xfrm>
          <a:off x="2362200" y="1257300"/>
          <a:ext cx="304800" cy="30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101598</xdr:rowOff>
    </xdr:to>
    <xdr:sp macro="" textlink="">
      <xdr:nvSpPr>
        <xdr:cNvPr id="12" name="AutoShape 2" descr="476134638652.jpg"/>
        <xdr:cNvSpPr>
          <a:spLocks noChangeAspect="1" noChangeArrowheads="1"/>
        </xdr:cNvSpPr>
      </xdr:nvSpPr>
      <xdr:spPr bwMode="auto">
        <a:xfrm>
          <a:off x="2362200" y="1257300"/>
          <a:ext cx="304800" cy="30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101598</xdr:rowOff>
    </xdr:to>
    <xdr:sp macro="" textlink="">
      <xdr:nvSpPr>
        <xdr:cNvPr id="13" name="AutoShape 1" descr="476134638652.jpg"/>
        <xdr:cNvSpPr>
          <a:spLocks noChangeAspect="1" noChangeArrowheads="1"/>
        </xdr:cNvSpPr>
      </xdr:nvSpPr>
      <xdr:spPr bwMode="auto">
        <a:xfrm>
          <a:off x="2362200" y="1257300"/>
          <a:ext cx="304800" cy="30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101598</xdr:rowOff>
    </xdr:to>
    <xdr:sp macro="" textlink="">
      <xdr:nvSpPr>
        <xdr:cNvPr id="14" name="AutoShape 2" descr="476134638652.jpg"/>
        <xdr:cNvSpPr>
          <a:spLocks noChangeAspect="1" noChangeArrowheads="1"/>
        </xdr:cNvSpPr>
      </xdr:nvSpPr>
      <xdr:spPr bwMode="auto">
        <a:xfrm>
          <a:off x="2362200" y="1257300"/>
          <a:ext cx="304800" cy="30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101599</xdr:rowOff>
    </xdr:to>
    <xdr:sp macro="" textlink="">
      <xdr:nvSpPr>
        <xdr:cNvPr id="15" name="AutoShape 1" descr="476134638652.jpg"/>
        <xdr:cNvSpPr>
          <a:spLocks noChangeAspect="1" noChangeArrowheads="1"/>
        </xdr:cNvSpPr>
      </xdr:nvSpPr>
      <xdr:spPr bwMode="auto">
        <a:xfrm>
          <a:off x="2362200" y="14605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101599</xdr:rowOff>
    </xdr:to>
    <xdr:sp macro="" textlink="">
      <xdr:nvSpPr>
        <xdr:cNvPr id="16" name="AutoShape 2" descr="476134638652.jpg"/>
        <xdr:cNvSpPr>
          <a:spLocks noChangeAspect="1" noChangeArrowheads="1"/>
        </xdr:cNvSpPr>
      </xdr:nvSpPr>
      <xdr:spPr bwMode="auto">
        <a:xfrm>
          <a:off x="2362200" y="14605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101599</xdr:rowOff>
    </xdr:to>
    <xdr:sp macro="" textlink="">
      <xdr:nvSpPr>
        <xdr:cNvPr id="17" name="AutoShape 1" descr="476134638652.jpg"/>
        <xdr:cNvSpPr>
          <a:spLocks noChangeAspect="1" noChangeArrowheads="1"/>
        </xdr:cNvSpPr>
      </xdr:nvSpPr>
      <xdr:spPr bwMode="auto">
        <a:xfrm>
          <a:off x="2362200" y="14605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101599</xdr:rowOff>
    </xdr:to>
    <xdr:sp macro="" textlink="">
      <xdr:nvSpPr>
        <xdr:cNvPr id="18" name="AutoShape 2" descr="476134638652.jpg"/>
        <xdr:cNvSpPr>
          <a:spLocks noChangeAspect="1" noChangeArrowheads="1"/>
        </xdr:cNvSpPr>
      </xdr:nvSpPr>
      <xdr:spPr bwMode="auto">
        <a:xfrm>
          <a:off x="2362200" y="14605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101600</xdr:rowOff>
    </xdr:to>
    <xdr:sp macro="" textlink="">
      <xdr:nvSpPr>
        <xdr:cNvPr id="19" name="AutoShape 1" descr="476134638652.jpg"/>
        <xdr:cNvSpPr>
          <a:spLocks noChangeAspect="1" noChangeArrowheads="1"/>
        </xdr:cNvSpPr>
      </xdr:nvSpPr>
      <xdr:spPr bwMode="auto">
        <a:xfrm>
          <a:off x="2362200" y="166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101600</xdr:rowOff>
    </xdr:to>
    <xdr:sp macro="" textlink="">
      <xdr:nvSpPr>
        <xdr:cNvPr id="20" name="AutoShape 2" descr="476134638652.jpg"/>
        <xdr:cNvSpPr>
          <a:spLocks noChangeAspect="1" noChangeArrowheads="1"/>
        </xdr:cNvSpPr>
      </xdr:nvSpPr>
      <xdr:spPr bwMode="auto">
        <a:xfrm>
          <a:off x="2362200" y="166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101600</xdr:rowOff>
    </xdr:to>
    <xdr:sp macro="" textlink="">
      <xdr:nvSpPr>
        <xdr:cNvPr id="21" name="AutoShape 1" descr="476134638652.jpg"/>
        <xdr:cNvSpPr>
          <a:spLocks noChangeAspect="1" noChangeArrowheads="1"/>
        </xdr:cNvSpPr>
      </xdr:nvSpPr>
      <xdr:spPr bwMode="auto">
        <a:xfrm>
          <a:off x="2362200" y="166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101600</xdr:rowOff>
    </xdr:to>
    <xdr:sp macro="" textlink="">
      <xdr:nvSpPr>
        <xdr:cNvPr id="22" name="AutoShape 2" descr="476134638652.jpg"/>
        <xdr:cNvSpPr>
          <a:spLocks noChangeAspect="1" noChangeArrowheads="1"/>
        </xdr:cNvSpPr>
      </xdr:nvSpPr>
      <xdr:spPr bwMode="auto">
        <a:xfrm>
          <a:off x="2362200" y="166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101599</xdr:rowOff>
    </xdr:to>
    <xdr:sp macro="" textlink="">
      <xdr:nvSpPr>
        <xdr:cNvPr id="23" name="AutoShape 1" descr="476134638652.jpg"/>
        <xdr:cNvSpPr>
          <a:spLocks noChangeAspect="1" noChangeArrowheads="1"/>
        </xdr:cNvSpPr>
      </xdr:nvSpPr>
      <xdr:spPr bwMode="auto">
        <a:xfrm>
          <a:off x="2362200" y="1866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101599</xdr:rowOff>
    </xdr:to>
    <xdr:sp macro="" textlink="">
      <xdr:nvSpPr>
        <xdr:cNvPr id="24" name="AutoShape 2" descr="476134638652.jpg"/>
        <xdr:cNvSpPr>
          <a:spLocks noChangeAspect="1" noChangeArrowheads="1"/>
        </xdr:cNvSpPr>
      </xdr:nvSpPr>
      <xdr:spPr bwMode="auto">
        <a:xfrm>
          <a:off x="2362200" y="1866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101599</xdr:rowOff>
    </xdr:to>
    <xdr:sp macro="" textlink="">
      <xdr:nvSpPr>
        <xdr:cNvPr id="25" name="AutoShape 1" descr="476134638652.jpg"/>
        <xdr:cNvSpPr>
          <a:spLocks noChangeAspect="1" noChangeArrowheads="1"/>
        </xdr:cNvSpPr>
      </xdr:nvSpPr>
      <xdr:spPr bwMode="auto">
        <a:xfrm>
          <a:off x="2362200" y="1866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101599</xdr:rowOff>
    </xdr:to>
    <xdr:sp macro="" textlink="">
      <xdr:nvSpPr>
        <xdr:cNvPr id="26" name="AutoShape 2" descr="476134638652.jpg"/>
        <xdr:cNvSpPr>
          <a:spLocks noChangeAspect="1" noChangeArrowheads="1"/>
        </xdr:cNvSpPr>
      </xdr:nvSpPr>
      <xdr:spPr bwMode="auto">
        <a:xfrm>
          <a:off x="2362200" y="1866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101599</xdr:rowOff>
    </xdr:to>
    <xdr:sp macro="" textlink="">
      <xdr:nvSpPr>
        <xdr:cNvPr id="27" name="AutoShape 1" descr="476134638652.jpg"/>
        <xdr:cNvSpPr>
          <a:spLocks noChangeAspect="1" noChangeArrowheads="1"/>
        </xdr:cNvSpPr>
      </xdr:nvSpPr>
      <xdr:spPr bwMode="auto">
        <a:xfrm>
          <a:off x="2362200" y="20701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101599</xdr:rowOff>
    </xdr:to>
    <xdr:sp macro="" textlink="">
      <xdr:nvSpPr>
        <xdr:cNvPr id="28" name="AutoShape 2" descr="476134638652.jpg"/>
        <xdr:cNvSpPr>
          <a:spLocks noChangeAspect="1" noChangeArrowheads="1"/>
        </xdr:cNvSpPr>
      </xdr:nvSpPr>
      <xdr:spPr bwMode="auto">
        <a:xfrm>
          <a:off x="2362200" y="20701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101599</xdr:rowOff>
    </xdr:to>
    <xdr:sp macro="" textlink="">
      <xdr:nvSpPr>
        <xdr:cNvPr id="29" name="AutoShape 1" descr="476134638652.jpg"/>
        <xdr:cNvSpPr>
          <a:spLocks noChangeAspect="1" noChangeArrowheads="1"/>
        </xdr:cNvSpPr>
      </xdr:nvSpPr>
      <xdr:spPr bwMode="auto">
        <a:xfrm>
          <a:off x="2362200" y="20701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101599</xdr:rowOff>
    </xdr:to>
    <xdr:sp macro="" textlink="">
      <xdr:nvSpPr>
        <xdr:cNvPr id="30" name="AutoShape 2" descr="476134638652.jpg"/>
        <xdr:cNvSpPr>
          <a:spLocks noChangeAspect="1" noChangeArrowheads="1"/>
        </xdr:cNvSpPr>
      </xdr:nvSpPr>
      <xdr:spPr bwMode="auto">
        <a:xfrm>
          <a:off x="2362200" y="20701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101599</xdr:rowOff>
    </xdr:to>
    <xdr:sp macro="" textlink="">
      <xdr:nvSpPr>
        <xdr:cNvPr id="31" name="AutoShape 1" descr="476134638652.jpg"/>
        <xdr:cNvSpPr>
          <a:spLocks noChangeAspect="1" noChangeArrowheads="1"/>
        </xdr:cNvSpPr>
      </xdr:nvSpPr>
      <xdr:spPr bwMode="auto">
        <a:xfrm>
          <a:off x="2362200" y="22733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101599</xdr:rowOff>
    </xdr:to>
    <xdr:sp macro="" textlink="">
      <xdr:nvSpPr>
        <xdr:cNvPr id="32" name="AutoShape 2" descr="476134638652.jpg"/>
        <xdr:cNvSpPr>
          <a:spLocks noChangeAspect="1" noChangeArrowheads="1"/>
        </xdr:cNvSpPr>
      </xdr:nvSpPr>
      <xdr:spPr bwMode="auto">
        <a:xfrm>
          <a:off x="2362200" y="22733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47:I148" headerRowCount="0" totalsRowShown="0">
  <tableColumns count="9">
    <tableColumn id="1" name="Column1" headerRowDxfId="1" headerRowCellStyle="Comma"/>
    <tableColumn id="2" name="Column2">
      <calculatedColumnFormula>B143+B138+B123+B115+B107+B90</calculatedColumnFormula>
    </tableColumn>
    <tableColumn id="3" name="Column3">
      <calculatedColumnFormula>B147/365</calculatedColumnFormula>
    </tableColumn>
    <tableColumn id="4" name="Column4"/>
    <tableColumn id="5" name="Column5"/>
    <tableColumn id="6" name="Column6"/>
    <tableColumn id="7" name="Column7"/>
    <tableColumn id="8" name="Column8"/>
    <tableColumn id="9" name="Column9" headerRowDxfId="0">
      <calculatedColumnFormula>I90+I107+I115+I123+I138+I143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workbookViewId="0">
      <selection activeCell="H11" sqref="H11"/>
    </sheetView>
  </sheetViews>
  <sheetFormatPr baseColWidth="10" defaultRowHeight="16" x14ac:dyDescent="0.2"/>
  <cols>
    <col min="1" max="1" width="20.1640625" customWidth="1"/>
    <col min="2" max="2" width="19.83203125" customWidth="1"/>
    <col min="3" max="3" width="17.33203125" customWidth="1"/>
    <col min="5" max="5" width="16.1640625" customWidth="1"/>
    <col min="9" max="9" width="16.6640625" customWidth="1"/>
    <col min="10" max="10" width="10.33203125" customWidth="1"/>
    <col min="13" max="13" width="15.33203125" customWidth="1"/>
  </cols>
  <sheetData>
    <row r="1" spans="1:13" ht="19" x14ac:dyDescent="0.25">
      <c r="A1" s="1"/>
      <c r="B1" s="2"/>
      <c r="C1" s="3"/>
    </row>
    <row r="2" spans="1:13" x14ac:dyDescent="0.2">
      <c r="A2" t="s">
        <v>23</v>
      </c>
      <c r="B2" s="34">
        <v>450</v>
      </c>
      <c r="C2" s="5"/>
    </row>
    <row r="3" spans="1:13" x14ac:dyDescent="0.2">
      <c r="A3" t="s">
        <v>113</v>
      </c>
      <c r="B3" s="35">
        <v>0.2</v>
      </c>
      <c r="C3" s="6"/>
    </row>
    <row r="4" spans="1:13" x14ac:dyDescent="0.2">
      <c r="A4" t="s">
        <v>113</v>
      </c>
      <c r="B4" s="34">
        <v>90</v>
      </c>
      <c r="C4" s="6"/>
      <c r="G4" s="10"/>
      <c r="H4" s="10"/>
      <c r="I4" s="10"/>
      <c r="J4" s="10"/>
      <c r="K4" s="10"/>
      <c r="L4" s="10"/>
      <c r="M4" s="6">
        <f>$B$2*(K4)+0.8*(L4)</f>
        <v>0</v>
      </c>
    </row>
    <row r="5" spans="1:13" x14ac:dyDescent="0.2">
      <c r="A5" t="s">
        <v>21</v>
      </c>
      <c r="B5" s="34">
        <v>100</v>
      </c>
      <c r="C5" s="6"/>
    </row>
    <row r="6" spans="1:13" x14ac:dyDescent="0.2">
      <c r="A6" t="s">
        <v>128</v>
      </c>
      <c r="B6" s="34">
        <v>600</v>
      </c>
      <c r="C6" s="6"/>
    </row>
    <row r="7" spans="1:13" x14ac:dyDescent="0.2">
      <c r="A7" t="s">
        <v>108</v>
      </c>
      <c r="B7" s="10">
        <v>6000</v>
      </c>
      <c r="C7" s="6"/>
    </row>
    <row r="8" spans="1:13" x14ac:dyDescent="0.2">
      <c r="A8" t="s">
        <v>126</v>
      </c>
      <c r="B8" s="4">
        <v>300</v>
      </c>
      <c r="C8" s="6"/>
    </row>
    <row r="9" spans="1:13" x14ac:dyDescent="0.2">
      <c r="B9" s="4"/>
      <c r="C9" s="6"/>
    </row>
    <row r="10" spans="1:13" x14ac:dyDescent="0.2">
      <c r="B10" s="4"/>
      <c r="C10" s="6"/>
    </row>
    <row r="11" spans="1:13" x14ac:dyDescent="0.2">
      <c r="B11" s="4"/>
      <c r="C11" s="6"/>
    </row>
    <row r="12" spans="1:13" x14ac:dyDescent="0.2">
      <c r="B12" s="4"/>
      <c r="C12" s="6"/>
    </row>
    <row r="13" spans="1:13" ht="19" x14ac:dyDescent="0.25">
      <c r="A13" s="31" t="s">
        <v>110</v>
      </c>
    </row>
    <row r="14" spans="1:13" x14ac:dyDescent="0.2">
      <c r="A14" t="s">
        <v>59</v>
      </c>
      <c r="B14">
        <f>1000*111</f>
        <v>111000</v>
      </c>
      <c r="C14" s="6">
        <f t="shared" ref="C14:C19" si="0">B14/365</f>
        <v>304.10958904109589</v>
      </c>
      <c r="D14" s="6">
        <f>SQRT((2*B14*B$5)/B$4)</f>
        <v>496.65548085837798</v>
      </c>
    </row>
    <row r="15" spans="1:13" x14ac:dyDescent="0.2">
      <c r="A15" t="s">
        <v>60</v>
      </c>
      <c r="B15" s="10">
        <f>1000*4657.9</f>
        <v>4657900</v>
      </c>
      <c r="C15" s="6">
        <f t="shared" si="0"/>
        <v>12761.369863013699</v>
      </c>
      <c r="D15" s="6">
        <f t="shared" ref="D15:D20" si="1">SQRT((2*B15*B$5)/B$4)</f>
        <v>3217.2797343235306</v>
      </c>
    </row>
    <row r="16" spans="1:13" x14ac:dyDescent="0.2">
      <c r="A16" t="s">
        <v>61</v>
      </c>
      <c r="B16">
        <f>1000*550.5</f>
        <v>550500</v>
      </c>
      <c r="C16" s="6">
        <f t="shared" si="0"/>
        <v>1508.2191780821918</v>
      </c>
      <c r="D16" s="6">
        <f t="shared" si="1"/>
        <v>1106.0440015358038</v>
      </c>
      <c r="J16" s="19"/>
    </row>
    <row r="17" spans="1:9" x14ac:dyDescent="0.2">
      <c r="A17" t="s">
        <v>62</v>
      </c>
      <c r="B17">
        <f>1000*373.5</f>
        <v>373500</v>
      </c>
      <c r="C17" s="6">
        <f t="shared" si="0"/>
        <v>1023.2876712328767</v>
      </c>
      <c r="D17" s="6">
        <f t="shared" si="1"/>
        <v>911.04335791442986</v>
      </c>
    </row>
    <row r="18" spans="1:9" x14ac:dyDescent="0.2">
      <c r="A18" t="s">
        <v>63</v>
      </c>
      <c r="B18" s="10">
        <f>1000*1475.8</f>
        <v>1475800</v>
      </c>
      <c r="C18" s="6">
        <f t="shared" si="0"/>
        <v>4043.2876712328766</v>
      </c>
      <c r="D18" s="6">
        <f t="shared" si="1"/>
        <v>1810.9543217750015</v>
      </c>
    </row>
    <row r="19" spans="1:9" x14ac:dyDescent="0.2">
      <c r="A19" t="s">
        <v>64</v>
      </c>
      <c r="B19">
        <f>1000*327.6</f>
        <v>327600</v>
      </c>
      <c r="C19" s="6">
        <f t="shared" si="0"/>
        <v>897.53424657534242</v>
      </c>
      <c r="D19" s="6">
        <f t="shared" si="1"/>
        <v>853.22916030806164</v>
      </c>
    </row>
    <row r="20" spans="1:9" x14ac:dyDescent="0.2">
      <c r="B20" s="6">
        <f>SUM(B14:B19)</f>
        <v>7496300</v>
      </c>
      <c r="C20" s="12">
        <f>SUM(C14:C19)</f>
        <v>20537.808219178081</v>
      </c>
      <c r="D20" s="6">
        <f t="shared" si="1"/>
        <v>4081.475767959972</v>
      </c>
    </row>
    <row r="22" spans="1:9" ht="19" x14ac:dyDescent="0.25">
      <c r="A22" s="31" t="s">
        <v>57</v>
      </c>
      <c r="B22" t="s">
        <v>119</v>
      </c>
      <c r="C22" t="s">
        <v>49</v>
      </c>
      <c r="D22" t="s">
        <v>19</v>
      </c>
      <c r="E22" t="s">
        <v>117</v>
      </c>
      <c r="F22" t="s">
        <v>118</v>
      </c>
      <c r="G22" t="s">
        <v>129</v>
      </c>
      <c r="I22" t="s">
        <v>130</v>
      </c>
    </row>
    <row r="23" spans="1:9" x14ac:dyDescent="0.2">
      <c r="A23" s="4" t="s">
        <v>0</v>
      </c>
      <c r="B23" s="17">
        <f>1000*52722</f>
        <v>52722000</v>
      </c>
      <c r="C23" s="10">
        <f t="shared" ref="C23:C36" si="2">B23/365</f>
        <v>144443.83561643836</v>
      </c>
      <c r="D23" s="6">
        <f>SQRT((2*B23*B$5)/B$4)</f>
        <v>10824.047302187846</v>
      </c>
    </row>
    <row r="24" spans="1:9" x14ac:dyDescent="0.2">
      <c r="A24" s="4" t="s">
        <v>1</v>
      </c>
      <c r="B24" s="17">
        <f>1000*3614.1</f>
        <v>3614100</v>
      </c>
      <c r="C24" s="10">
        <f t="shared" si="2"/>
        <v>9901.6438356164381</v>
      </c>
      <c r="D24" s="6">
        <f t="shared" ref="D24:D37" si="3">SQRT((2*B24*B$5)/B$4)</f>
        <v>2833.9607148535656</v>
      </c>
    </row>
    <row r="25" spans="1:9" x14ac:dyDescent="0.2">
      <c r="A25" s="4" t="s">
        <v>2</v>
      </c>
      <c r="B25" s="17">
        <f>1000*2609.9</f>
        <v>2609900</v>
      </c>
      <c r="C25" s="12">
        <f t="shared" si="2"/>
        <v>7150.41095890411</v>
      </c>
      <c r="D25" s="6">
        <f t="shared" si="3"/>
        <v>2408.272778938835</v>
      </c>
    </row>
    <row r="26" spans="1:9" x14ac:dyDescent="0.2">
      <c r="A26" s="4" t="s">
        <v>3</v>
      </c>
      <c r="B26" s="17">
        <f>1000*873.1</f>
        <v>873100</v>
      </c>
      <c r="C26" s="12">
        <f t="shared" si="2"/>
        <v>2392.0547945205481</v>
      </c>
      <c r="D26" s="6">
        <f t="shared" si="3"/>
        <v>1392.9185985628242</v>
      </c>
    </row>
    <row r="27" spans="1:9" x14ac:dyDescent="0.2">
      <c r="A27" s="4" t="s">
        <v>4</v>
      </c>
      <c r="B27" s="17">
        <f>1000*16410.1</f>
        <v>16410099.999999998</v>
      </c>
      <c r="C27" s="10">
        <f t="shared" si="2"/>
        <v>44959.178082191778</v>
      </c>
      <c r="D27" s="6">
        <f t="shared" si="3"/>
        <v>6038.7820699946506</v>
      </c>
    </row>
    <row r="28" spans="1:9" x14ac:dyDescent="0.2">
      <c r="A28" s="4" t="s">
        <v>5</v>
      </c>
      <c r="B28" s="17">
        <f>1000*2165.6</f>
        <v>2165600</v>
      </c>
      <c r="C28" s="12">
        <f t="shared" si="2"/>
        <v>5933.1506849315065</v>
      </c>
      <c r="D28" s="6">
        <f t="shared" si="3"/>
        <v>2193.7284345252137</v>
      </c>
    </row>
    <row r="29" spans="1:9" x14ac:dyDescent="0.2">
      <c r="A29" s="4" t="s">
        <v>6</v>
      </c>
      <c r="B29" s="17">
        <f>1000*697</f>
        <v>697000</v>
      </c>
      <c r="C29" s="12">
        <f t="shared" si="2"/>
        <v>1909.5890410958905</v>
      </c>
      <c r="D29" s="6">
        <f t="shared" si="3"/>
        <v>1244.5436468396313</v>
      </c>
    </row>
    <row r="30" spans="1:9" x14ac:dyDescent="0.2">
      <c r="A30" s="4" t="s">
        <v>7</v>
      </c>
      <c r="B30" s="17">
        <f>1000*907.7</f>
        <v>907700</v>
      </c>
      <c r="C30" s="12">
        <f t="shared" si="2"/>
        <v>2486.8493150684931</v>
      </c>
      <c r="D30" s="6">
        <f t="shared" si="3"/>
        <v>1420.2503691642228</v>
      </c>
    </row>
    <row r="31" spans="1:9" x14ac:dyDescent="0.2">
      <c r="A31" s="4" t="s">
        <v>8</v>
      </c>
      <c r="B31" s="17">
        <f>1000*2269.2</f>
        <v>2269200</v>
      </c>
      <c r="C31" s="12">
        <f t="shared" si="2"/>
        <v>6216.9863013698632</v>
      </c>
      <c r="D31" s="6">
        <f t="shared" si="3"/>
        <v>2245.5882673960218</v>
      </c>
    </row>
    <row r="32" spans="1:9" x14ac:dyDescent="0.2">
      <c r="A32" s="4" t="s">
        <v>9</v>
      </c>
      <c r="B32" s="17">
        <f>1000*1693.8</f>
        <v>1693800</v>
      </c>
      <c r="C32" s="12">
        <f t="shared" si="2"/>
        <v>4640.5479452054797</v>
      </c>
      <c r="D32" s="6">
        <f t="shared" si="3"/>
        <v>1940.1030900444441</v>
      </c>
    </row>
    <row r="33" spans="1:4" x14ac:dyDescent="0.2">
      <c r="A33" s="4" t="s">
        <v>10</v>
      </c>
      <c r="B33" s="17">
        <f>1000*2231.5</f>
        <v>2231500</v>
      </c>
      <c r="C33" s="12">
        <f t="shared" si="2"/>
        <v>6113.6986301369861</v>
      </c>
      <c r="D33" s="6">
        <f t="shared" si="3"/>
        <v>2226.8562793518781</v>
      </c>
    </row>
    <row r="34" spans="1:4" x14ac:dyDescent="0.2">
      <c r="A34" s="4" t="s">
        <v>11</v>
      </c>
      <c r="B34" s="17">
        <f>1000*2183.9</f>
        <v>2183900</v>
      </c>
      <c r="C34" s="12">
        <f t="shared" si="2"/>
        <v>5983.2876712328771</v>
      </c>
      <c r="D34" s="6">
        <f>SQRT((2*B34*B$5)/B$4)</f>
        <v>2202.9777827093744</v>
      </c>
    </row>
    <row r="35" spans="1:4" x14ac:dyDescent="0.2">
      <c r="A35" s="4" t="s">
        <v>12</v>
      </c>
      <c r="B35" s="17">
        <f>1000*3308.9</f>
        <v>3308900</v>
      </c>
      <c r="C35" s="10">
        <f t="shared" si="2"/>
        <v>9065.4794520547948</v>
      </c>
      <c r="D35" s="6">
        <f t="shared" si="3"/>
        <v>2711.6620569516235</v>
      </c>
    </row>
    <row r="36" spans="1:4" x14ac:dyDescent="0.2">
      <c r="A36" s="4" t="s">
        <v>13</v>
      </c>
      <c r="B36" s="17">
        <f>1000*3016.3</f>
        <v>3016300</v>
      </c>
      <c r="C36" s="10">
        <f t="shared" si="2"/>
        <v>8263.8356164383567</v>
      </c>
      <c r="D36" s="6">
        <f t="shared" si="3"/>
        <v>2588.9937985419915</v>
      </c>
    </row>
    <row r="37" spans="1:4" x14ac:dyDescent="0.2">
      <c r="B37" s="27">
        <f>SUM(B23:B36)</f>
        <v>94703100</v>
      </c>
      <c r="C37" s="10">
        <f>SUM(C23:C36)</f>
        <v>259460.54794520553</v>
      </c>
      <c r="D37" s="6">
        <f t="shared" si="3"/>
        <v>14506.940867506606</v>
      </c>
    </row>
    <row r="38" spans="1:4" ht="19" x14ac:dyDescent="0.25">
      <c r="A38" s="31" t="s">
        <v>111</v>
      </c>
    </row>
    <row r="39" spans="1:4" x14ac:dyDescent="0.2">
      <c r="A39" s="4" t="s">
        <v>68</v>
      </c>
      <c r="B39" s="17">
        <f>1000*393.5</f>
        <v>393500</v>
      </c>
      <c r="C39" s="12">
        <f t="shared" ref="C39:C44" si="4">B39/365</f>
        <v>1078.0821917808219</v>
      </c>
      <c r="D39" s="6">
        <f>SQRT((2*B39*B$5)/B$4)</f>
        <v>935.11734260703588</v>
      </c>
    </row>
    <row r="40" spans="1:4" x14ac:dyDescent="0.2">
      <c r="A40" s="4" t="s">
        <v>69</v>
      </c>
      <c r="B40" s="17">
        <f>1000*109.3</f>
        <v>109300</v>
      </c>
      <c r="C40" s="12">
        <f t="shared" si="4"/>
        <v>299.45205479452056</v>
      </c>
      <c r="D40" s="6">
        <f t="shared" ref="D40:D45" si="5">SQRT((2*B40*B$5)/B$4)</f>
        <v>492.83758875403254</v>
      </c>
    </row>
    <row r="41" spans="1:4" x14ac:dyDescent="0.2">
      <c r="A41" s="4" t="s">
        <v>70</v>
      </c>
      <c r="B41" s="17">
        <f>1000*485.1</f>
        <v>485100</v>
      </c>
      <c r="C41" s="12">
        <f t="shared" si="4"/>
        <v>1329.041095890411</v>
      </c>
      <c r="D41" s="6">
        <f t="shared" si="5"/>
        <v>1038.2677881933928</v>
      </c>
    </row>
    <row r="42" spans="1:4" x14ac:dyDescent="0.2">
      <c r="A42" s="4" t="s">
        <v>71</v>
      </c>
      <c r="B42" s="17">
        <f>1000*236.6</f>
        <v>236600</v>
      </c>
      <c r="C42" s="12">
        <f t="shared" si="4"/>
        <v>648.21917808219177</v>
      </c>
      <c r="D42" s="6">
        <f t="shared" si="5"/>
        <v>725.10535632953213</v>
      </c>
    </row>
    <row r="43" spans="1:4" x14ac:dyDescent="0.2">
      <c r="A43" s="4" t="s">
        <v>72</v>
      </c>
      <c r="B43" s="17">
        <f>1000*3642.5</f>
        <v>3642500</v>
      </c>
      <c r="C43" s="12">
        <f t="shared" si="4"/>
        <v>9979.4520547945212</v>
      </c>
      <c r="D43" s="6">
        <f t="shared" si="5"/>
        <v>2845.0737151160852</v>
      </c>
    </row>
    <row r="44" spans="1:4" x14ac:dyDescent="0.2">
      <c r="A44" s="4" t="s">
        <v>73</v>
      </c>
      <c r="B44" s="17">
        <f>1000*245.2</f>
        <v>245200</v>
      </c>
      <c r="C44" s="12">
        <f t="shared" si="4"/>
        <v>671.78082191780823</v>
      </c>
      <c r="D44" s="6">
        <f t="shared" si="5"/>
        <v>738.16589523554183</v>
      </c>
    </row>
    <row r="45" spans="1:4" x14ac:dyDescent="0.2">
      <c r="B45" s="27">
        <f>SUM(B39:B44)</f>
        <v>5112200</v>
      </c>
      <c r="C45" s="12">
        <f>SUM(C39:C44)</f>
        <v>14006.027397260274</v>
      </c>
      <c r="D45" s="6">
        <f t="shared" si="5"/>
        <v>3370.5258409400221</v>
      </c>
    </row>
    <row r="46" spans="1:4" ht="19" x14ac:dyDescent="0.25">
      <c r="A46" s="32" t="s">
        <v>74</v>
      </c>
    </row>
    <row r="47" spans="1:4" x14ac:dyDescent="0.2">
      <c r="A47" s="29" t="s">
        <v>76</v>
      </c>
      <c r="B47" s="17">
        <f>1000*793.5</f>
        <v>793500</v>
      </c>
      <c r="C47">
        <f t="shared" ref="C47:C52" si="6">B47/365</f>
        <v>2173.972602739726</v>
      </c>
      <c r="D47" s="6">
        <f>SQRT((2*B47*B$5)/B$4)</f>
        <v>1327.9056191361392</v>
      </c>
    </row>
    <row r="48" spans="1:4" x14ac:dyDescent="0.2">
      <c r="A48" s="29" t="s">
        <v>77</v>
      </c>
      <c r="B48" s="17">
        <f>1000*1053.6</f>
        <v>1053600</v>
      </c>
      <c r="C48">
        <f t="shared" si="6"/>
        <v>2886.5753424657532</v>
      </c>
      <c r="D48" s="6">
        <f t="shared" ref="D48:D53" si="7">SQRT((2*B48*B$5)/B$4)</f>
        <v>1530.1416056474425</v>
      </c>
    </row>
    <row r="49" spans="1:4" x14ac:dyDescent="0.2">
      <c r="A49" s="29" t="s">
        <v>78</v>
      </c>
      <c r="B49" s="17">
        <f>1000*172.7</f>
        <v>172700</v>
      </c>
      <c r="C49">
        <f t="shared" si="6"/>
        <v>473.15068493150687</v>
      </c>
      <c r="D49" s="6">
        <f t="shared" si="7"/>
        <v>619.49800466004547</v>
      </c>
    </row>
    <row r="50" spans="1:4" x14ac:dyDescent="0.2">
      <c r="A50" s="29" t="s">
        <v>79</v>
      </c>
      <c r="B50" s="17">
        <f>1000*3270.9</f>
        <v>3270900</v>
      </c>
      <c r="C50">
        <f t="shared" si="6"/>
        <v>8961.3698630136987</v>
      </c>
      <c r="D50" s="6">
        <f t="shared" si="7"/>
        <v>2696.0464882243159</v>
      </c>
    </row>
    <row r="51" spans="1:4" x14ac:dyDescent="0.2">
      <c r="A51" s="29" t="s">
        <v>80</v>
      </c>
      <c r="B51" s="17">
        <f>1000*1902.4</f>
        <v>1902400</v>
      </c>
      <c r="C51">
        <f t="shared" si="6"/>
        <v>5212.0547945205481</v>
      </c>
      <c r="D51" s="6">
        <f t="shared" si="7"/>
        <v>2056.102029461465</v>
      </c>
    </row>
    <row r="52" spans="1:4" x14ac:dyDescent="0.2">
      <c r="A52" s="29" t="s">
        <v>81</v>
      </c>
      <c r="B52" s="10">
        <f>1000*1128.8</f>
        <v>1128800</v>
      </c>
      <c r="C52">
        <f t="shared" si="6"/>
        <v>3092.6027397260273</v>
      </c>
      <c r="D52" s="6">
        <f t="shared" si="7"/>
        <v>1583.8069467092398</v>
      </c>
    </row>
    <row r="53" spans="1:4" x14ac:dyDescent="0.2">
      <c r="B53" s="27">
        <f>SUM(B47:B52)</f>
        <v>8321900</v>
      </c>
      <c r="C53" s="6">
        <f>SUM(C47:C52)</f>
        <v>22799.726027397257</v>
      </c>
      <c r="D53" s="6">
        <f t="shared" si="7"/>
        <v>4300.3617418899903</v>
      </c>
    </row>
    <row r="54" spans="1:4" ht="19" x14ac:dyDescent="0.25">
      <c r="A54" s="33" t="s">
        <v>112</v>
      </c>
    </row>
    <row r="55" spans="1:4" x14ac:dyDescent="0.2">
      <c r="A55" s="4" t="s">
        <v>87</v>
      </c>
      <c r="B55">
        <v>549.29999999999995</v>
      </c>
      <c r="C55" s="6">
        <f t="shared" ref="C55:C67" si="8">B55/365</f>
        <v>1.504931506849315</v>
      </c>
      <c r="D55" s="6">
        <f>SQRT((2*B55*B$5)/B$4)</f>
        <v>34.938040395343677</v>
      </c>
    </row>
    <row r="56" spans="1:4" x14ac:dyDescent="0.2">
      <c r="A56" s="4" t="s">
        <v>88</v>
      </c>
      <c r="B56" s="10">
        <v>1922.8</v>
      </c>
      <c r="C56" s="6">
        <f t="shared" si="8"/>
        <v>5.2679452054794522</v>
      </c>
      <c r="D56" s="6">
        <f t="shared" ref="D56:D68" si="9">SQRT((2*B56*B$5)/B$4)</f>
        <v>65.367338089361482</v>
      </c>
    </row>
    <row r="57" spans="1:4" x14ac:dyDescent="0.2">
      <c r="A57" s="4" t="s">
        <v>89</v>
      </c>
      <c r="B57" s="10">
        <v>4381.5</v>
      </c>
      <c r="C57" s="6">
        <f t="shared" si="8"/>
        <v>12.004109589041096</v>
      </c>
      <c r="D57" s="6">
        <f t="shared" si="9"/>
        <v>98.674549234676846</v>
      </c>
    </row>
    <row r="58" spans="1:4" x14ac:dyDescent="0.2">
      <c r="A58" s="4" t="s">
        <v>90</v>
      </c>
      <c r="B58" s="10">
        <v>4785.8999999999996</v>
      </c>
      <c r="C58" s="6">
        <f t="shared" si="8"/>
        <v>13.112054794520548</v>
      </c>
      <c r="D58" s="6">
        <f t="shared" si="9"/>
        <v>103.12775248851946</v>
      </c>
    </row>
    <row r="59" spans="1:4" x14ac:dyDescent="0.2">
      <c r="A59" s="4" t="s">
        <v>91</v>
      </c>
      <c r="B59" s="10">
        <v>144.5</v>
      </c>
      <c r="C59" s="6">
        <f t="shared" si="8"/>
        <v>0.39589041095890409</v>
      </c>
      <c r="D59" s="6">
        <f t="shared" si="9"/>
        <v>17.919573407620817</v>
      </c>
    </row>
    <row r="60" spans="1:4" x14ac:dyDescent="0.2">
      <c r="A60" s="4" t="s">
        <v>92</v>
      </c>
      <c r="B60" s="10">
        <v>5341.5</v>
      </c>
      <c r="C60" s="6">
        <f t="shared" si="8"/>
        <v>14.634246575342466</v>
      </c>
      <c r="D60" s="6">
        <f t="shared" si="9"/>
        <v>108.94952959971879</v>
      </c>
    </row>
    <row r="61" spans="1:4" x14ac:dyDescent="0.2">
      <c r="A61" s="4" t="s">
        <v>93</v>
      </c>
      <c r="B61" s="10">
        <v>1391.9</v>
      </c>
      <c r="C61" s="6">
        <f t="shared" si="8"/>
        <v>3.813424657534247</v>
      </c>
      <c r="D61" s="6">
        <f t="shared" si="9"/>
        <v>55.615745172667708</v>
      </c>
    </row>
    <row r="62" spans="1:4" x14ac:dyDescent="0.2">
      <c r="A62" s="4" t="s">
        <v>94</v>
      </c>
      <c r="B62" s="10">
        <v>591.9</v>
      </c>
      <c r="C62" s="6">
        <f t="shared" si="8"/>
        <v>1.6216438356164382</v>
      </c>
      <c r="D62" s="6">
        <f t="shared" si="9"/>
        <v>36.267524499658549</v>
      </c>
    </row>
    <row r="63" spans="1:4" x14ac:dyDescent="0.2">
      <c r="A63" s="4" t="s">
        <v>95</v>
      </c>
      <c r="B63" s="10">
        <v>362.1</v>
      </c>
      <c r="C63" s="6">
        <f t="shared" si="8"/>
        <v>0.99205479452054801</v>
      </c>
      <c r="D63" s="6">
        <f t="shared" si="9"/>
        <v>28.36664708185771</v>
      </c>
    </row>
    <row r="64" spans="1:4" x14ac:dyDescent="0.2">
      <c r="A64" s="4" t="s">
        <v>96</v>
      </c>
      <c r="B64" s="10">
        <v>1650.2</v>
      </c>
      <c r="C64" s="6">
        <f t="shared" si="8"/>
        <v>4.5210958904109591</v>
      </c>
      <c r="D64" s="6">
        <f t="shared" si="9"/>
        <v>60.5566768499652</v>
      </c>
    </row>
    <row r="65" spans="1:4" x14ac:dyDescent="0.2">
      <c r="A65" s="4" t="s">
        <v>97</v>
      </c>
      <c r="B65" s="10">
        <v>1288.0999999999999</v>
      </c>
      <c r="C65" s="6">
        <f t="shared" si="8"/>
        <v>3.5290410958904106</v>
      </c>
      <c r="D65" s="6">
        <f t="shared" si="9"/>
        <v>53.501817206936479</v>
      </c>
    </row>
    <row r="66" spans="1:4" x14ac:dyDescent="0.2">
      <c r="A66" s="4" t="s">
        <v>98</v>
      </c>
      <c r="B66" s="10">
        <v>1438.5</v>
      </c>
      <c r="C66" s="6">
        <f t="shared" si="8"/>
        <v>3.941095890410959</v>
      </c>
      <c r="D66" s="6">
        <f t="shared" si="9"/>
        <v>56.539072035775988</v>
      </c>
    </row>
    <row r="67" spans="1:4" x14ac:dyDescent="0.2">
      <c r="A67" s="4" t="s">
        <v>99</v>
      </c>
      <c r="B67" s="10">
        <v>8808.2999999999993</v>
      </c>
      <c r="C67" s="6">
        <f t="shared" si="8"/>
        <v>24.132328767123287</v>
      </c>
      <c r="D67" s="6">
        <f t="shared" si="9"/>
        <v>139.90711204224036</v>
      </c>
    </row>
    <row r="68" spans="1:4" x14ac:dyDescent="0.2">
      <c r="B68" s="6">
        <f>SUM(B55:B67)</f>
        <v>32656.5</v>
      </c>
      <c r="C68" s="12">
        <f>SUM(C55:C67)</f>
        <v>89.469863013698642</v>
      </c>
      <c r="D68" s="6">
        <f t="shared" si="9"/>
        <v>269.38819573247821</v>
      </c>
    </row>
    <row r="69" spans="1:4" x14ac:dyDescent="0.2">
      <c r="A69" s="7" t="s">
        <v>83</v>
      </c>
      <c r="B69" s="17"/>
      <c r="C69" s="12">
        <f>B69/365</f>
        <v>0</v>
      </c>
    </row>
    <row r="70" spans="1:4" x14ac:dyDescent="0.2">
      <c r="A70" s="4" t="s">
        <v>131</v>
      </c>
      <c r="B70" s="17"/>
      <c r="C70" s="12">
        <f>B70/365</f>
        <v>0</v>
      </c>
    </row>
    <row r="71" spans="1:4" x14ac:dyDescent="0.2">
      <c r="A71" s="4" t="s">
        <v>132</v>
      </c>
      <c r="B71" s="27"/>
      <c r="C71" s="12">
        <f>SUM(C69:C70)</f>
        <v>0</v>
      </c>
    </row>
    <row r="72" spans="1:4" x14ac:dyDescent="0.2">
      <c r="A72" s="4" t="s">
        <v>85</v>
      </c>
    </row>
    <row r="78" spans="1:4" x14ac:dyDescent="0.2">
      <c r="A78" t="s">
        <v>114</v>
      </c>
      <c r="B78" t="s">
        <v>121</v>
      </c>
      <c r="C78" t="s">
        <v>122</v>
      </c>
      <c r="D78" t="s">
        <v>123</v>
      </c>
    </row>
    <row r="79" spans="1:4" x14ac:dyDescent="0.2">
      <c r="A79" t="s">
        <v>120</v>
      </c>
      <c r="B79">
        <v>3.54</v>
      </c>
      <c r="C79">
        <v>6.1</v>
      </c>
      <c r="D79">
        <v>2.2999999999999998</v>
      </c>
    </row>
    <row r="80" spans="1:4" x14ac:dyDescent="0.2">
      <c r="A80" t="s">
        <v>124</v>
      </c>
    </row>
    <row r="81" spans="1:2" x14ac:dyDescent="0.2">
      <c r="A81" t="s">
        <v>29</v>
      </c>
    </row>
    <row r="84" spans="1:2" x14ac:dyDescent="0.2">
      <c r="B84" t="s">
        <v>127</v>
      </c>
    </row>
    <row r="85" spans="1:2" x14ac:dyDescent="0.2">
      <c r="A85" t="s">
        <v>22</v>
      </c>
    </row>
    <row r="86" spans="1:2" x14ac:dyDescent="0.2">
      <c r="A86" t="s">
        <v>125</v>
      </c>
    </row>
    <row r="87" spans="1:2" x14ac:dyDescent="0.2">
      <c r="A87" t="s">
        <v>126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5"/>
  <sheetViews>
    <sheetView tabSelected="1" topLeftCell="A67" zoomScale="75" workbookViewId="0">
      <selection activeCell="E120" sqref="E120"/>
    </sheetView>
  </sheetViews>
  <sheetFormatPr baseColWidth="10" defaultRowHeight="16" x14ac:dyDescent="0.2"/>
  <cols>
    <col min="1" max="1" width="30.33203125" customWidth="1"/>
    <col min="2" max="2" width="18.83203125" customWidth="1"/>
    <col min="3" max="3" width="23" customWidth="1"/>
    <col min="4" max="4" width="17.33203125" customWidth="1"/>
    <col min="5" max="5" width="19.83203125" customWidth="1"/>
    <col min="6" max="7" width="27.5" customWidth="1"/>
    <col min="8" max="8" width="14.33203125" bestFit="1" customWidth="1"/>
    <col min="9" max="9" width="35.83203125" customWidth="1"/>
    <col min="10" max="10" width="14.1640625" customWidth="1"/>
    <col min="11" max="11" width="18.5" customWidth="1"/>
    <col min="12" max="12" width="17.5" customWidth="1"/>
    <col min="13" max="13" width="12.5" customWidth="1"/>
    <col min="22" max="22" width="13.5" customWidth="1"/>
  </cols>
  <sheetData>
    <row r="1" spans="1:22" x14ac:dyDescent="0.2">
      <c r="A1" t="s">
        <v>40</v>
      </c>
      <c r="B1">
        <v>450</v>
      </c>
      <c r="C1" t="s">
        <v>109</v>
      </c>
      <c r="D1">
        <v>6000</v>
      </c>
    </row>
    <row r="2" spans="1:22" x14ac:dyDescent="0.2">
      <c r="A2" t="s">
        <v>41</v>
      </c>
      <c r="B2" s="16">
        <v>0.2</v>
      </c>
      <c r="C2" t="s">
        <v>141</v>
      </c>
      <c r="D2">
        <v>1.68</v>
      </c>
    </row>
    <row r="3" spans="1:22" x14ac:dyDescent="0.2">
      <c r="A3" t="s">
        <v>42</v>
      </c>
      <c r="B3">
        <v>90</v>
      </c>
      <c r="C3" t="s">
        <v>142</v>
      </c>
      <c r="D3">
        <v>0.26</v>
      </c>
    </row>
    <row r="4" spans="1:22" x14ac:dyDescent="0.2">
      <c r="A4" t="s">
        <v>43</v>
      </c>
      <c r="B4">
        <v>100</v>
      </c>
      <c r="C4" t="s">
        <v>143</v>
      </c>
      <c r="D4">
        <v>10.51</v>
      </c>
    </row>
    <row r="5" spans="1:22" x14ac:dyDescent="0.2">
      <c r="A5" t="s">
        <v>44</v>
      </c>
      <c r="B5">
        <v>650</v>
      </c>
    </row>
    <row r="6" spans="1:22" x14ac:dyDescent="0.2">
      <c r="A6" t="s">
        <v>45</v>
      </c>
      <c r="B6" s="16">
        <v>0.95</v>
      </c>
    </row>
    <row r="7" spans="1:22" x14ac:dyDescent="0.2">
      <c r="A7" t="s">
        <v>46</v>
      </c>
      <c r="B7" s="16">
        <v>0.15</v>
      </c>
    </row>
    <row r="8" spans="1:22" x14ac:dyDescent="0.2">
      <c r="A8" t="s">
        <v>56</v>
      </c>
      <c r="B8">
        <v>300</v>
      </c>
    </row>
    <row r="9" spans="1:22" ht="21" x14ac:dyDescent="0.25">
      <c r="A9" s="21" t="s">
        <v>47</v>
      </c>
    </row>
    <row r="10" spans="1:22" ht="33" x14ac:dyDescent="0.25">
      <c r="A10" s="30" t="s">
        <v>101</v>
      </c>
      <c r="B10" s="26" t="s">
        <v>57</v>
      </c>
      <c r="C10" s="25" t="s">
        <v>48</v>
      </c>
      <c r="D10" s="23" t="s">
        <v>49</v>
      </c>
      <c r="E10" s="23" t="s">
        <v>20</v>
      </c>
      <c r="F10" s="24" t="s">
        <v>50</v>
      </c>
      <c r="G10" s="13" t="s">
        <v>18</v>
      </c>
      <c r="H10" s="13" t="s">
        <v>19</v>
      </c>
      <c r="I10" s="13" t="s">
        <v>51</v>
      </c>
      <c r="J10" s="13" t="s">
        <v>52</v>
      </c>
      <c r="K10" s="13" t="s">
        <v>53</v>
      </c>
      <c r="L10" s="13" t="s">
        <v>54</v>
      </c>
      <c r="M10" s="13" t="s">
        <v>55</v>
      </c>
    </row>
    <row r="11" spans="1:22" x14ac:dyDescent="0.2">
      <c r="A11" s="20"/>
      <c r="B11" s="4" t="s">
        <v>0</v>
      </c>
      <c r="C11" s="17">
        <f>1000*52722</f>
        <v>52722000</v>
      </c>
      <c r="D11" s="10">
        <f t="shared" ref="D11:D24" si="0">C11/365</f>
        <v>144443.83561643836</v>
      </c>
      <c r="E11" s="10">
        <f>D$11*B7</f>
        <v>21666.575342465752</v>
      </c>
      <c r="F11" s="9">
        <v>0</v>
      </c>
      <c r="G11" s="10">
        <v>1</v>
      </c>
      <c r="H11" s="10">
        <f>SQRT((2*C11*B$4)/B$3)</f>
        <v>10824.047302187846</v>
      </c>
      <c r="I11" s="17">
        <f>C11+F11</f>
        <v>52722000</v>
      </c>
      <c r="J11" s="6">
        <f>(NORMSINV(B$6)*SQRT((G11*E11^2)))</f>
        <v>35638.345035672115</v>
      </c>
      <c r="K11" s="12">
        <f t="shared" ref="K11:K24" si="1">I11+J11</f>
        <v>52757638.345035672</v>
      </c>
      <c r="L11" s="22">
        <f>((C11/H11)*B$4)+(((H11/2)+J11)*B$3)</f>
        <v>4181615.3104073964</v>
      </c>
      <c r="M11" t="s">
        <v>34</v>
      </c>
      <c r="N11" s="4"/>
      <c r="P11" s="10"/>
      <c r="Q11" s="10"/>
      <c r="R11" s="10"/>
      <c r="S11" s="10"/>
      <c r="T11" s="10"/>
      <c r="U11" s="10"/>
      <c r="V11" s="17"/>
    </row>
    <row r="12" spans="1:22" x14ac:dyDescent="0.2">
      <c r="B12" s="4" t="s">
        <v>1</v>
      </c>
      <c r="C12" s="17">
        <f>1000*3614.1</f>
        <v>3614100</v>
      </c>
      <c r="D12" s="10">
        <f t="shared" si="0"/>
        <v>9901.6438356164381</v>
      </c>
      <c r="E12" s="10">
        <f>D12*B7</f>
        <v>1485.2465753424656</v>
      </c>
      <c r="F12">
        <v>1223</v>
      </c>
      <c r="G12" s="10">
        <f>F12/B$5+1</f>
        <v>2.8815384615384616</v>
      </c>
      <c r="H12" s="10">
        <f t="shared" ref="H12:H24" si="2">SQRT((2*C12*B$4)/B$3)</f>
        <v>2833.9607148535656</v>
      </c>
      <c r="I12" s="17">
        <f t="shared" ref="I12:I24" si="3">C12+G12</f>
        <v>3614102.8815384614</v>
      </c>
      <c r="J12" s="6">
        <f t="shared" ref="J12:J24" si="4">(NORMSINV(B$6)*SQRT((G12*E12^2)))</f>
        <v>4147.0381138720995</v>
      </c>
      <c r="K12" s="12">
        <f t="shared" si="1"/>
        <v>3618249.9196523335</v>
      </c>
      <c r="L12" s="17">
        <f t="shared" ref="L12:L24" si="5">((C12/H12)*B$4)+(((H12/2)+J12)*B$3)</f>
        <v>628289.8945853099</v>
      </c>
      <c r="M12" t="s">
        <v>34</v>
      </c>
      <c r="N12" s="4"/>
      <c r="P12" s="10"/>
      <c r="Q12" s="10"/>
      <c r="R12" s="10"/>
      <c r="S12" s="10"/>
      <c r="T12" s="10"/>
      <c r="U12" s="10"/>
      <c r="V12" s="17"/>
    </row>
    <row r="13" spans="1:22" x14ac:dyDescent="0.2">
      <c r="B13" s="4" t="s">
        <v>2</v>
      </c>
      <c r="C13" s="17">
        <f>1000*2609.9</f>
        <v>2609900</v>
      </c>
      <c r="D13" s="12">
        <f t="shared" si="0"/>
        <v>7150.41095890411</v>
      </c>
      <c r="E13" s="10">
        <f>D13*B7</f>
        <v>1072.5616438356165</v>
      </c>
      <c r="F13">
        <v>2343</v>
      </c>
      <c r="G13" s="10">
        <f t="shared" ref="G13:G23" si="6">F13/B$5+1</f>
        <v>4.6046153846153848</v>
      </c>
      <c r="H13" s="10">
        <f t="shared" si="2"/>
        <v>2408.272778938835</v>
      </c>
      <c r="I13" s="17">
        <f t="shared" si="3"/>
        <v>2609904.6046153847</v>
      </c>
      <c r="J13" s="6">
        <f t="shared" si="4"/>
        <v>3785.7000331494846</v>
      </c>
      <c r="K13" s="12">
        <f t="shared" si="1"/>
        <v>2613690.3046485344</v>
      </c>
      <c r="L13" s="17">
        <f t="shared" si="5"/>
        <v>557457.55308794871</v>
      </c>
      <c r="M13" t="s">
        <v>34</v>
      </c>
      <c r="N13" s="4"/>
      <c r="R13" s="10"/>
      <c r="S13" s="10"/>
      <c r="T13" s="10"/>
      <c r="U13" s="10"/>
      <c r="V13" s="17"/>
    </row>
    <row r="14" spans="1:22" x14ac:dyDescent="0.2">
      <c r="B14" s="4" t="s">
        <v>3</v>
      </c>
      <c r="C14" s="17">
        <f>1000*873.1</f>
        <v>873100</v>
      </c>
      <c r="D14" s="12">
        <f t="shared" si="0"/>
        <v>2392.0547945205481</v>
      </c>
      <c r="E14" s="10">
        <f>$D14*B7</f>
        <v>358.8082191780822</v>
      </c>
      <c r="F14">
        <v>3444</v>
      </c>
      <c r="G14" s="10">
        <f t="shared" si="6"/>
        <v>6.2984615384615381</v>
      </c>
      <c r="H14" s="10">
        <f t="shared" si="2"/>
        <v>1392.9185985628242</v>
      </c>
      <c r="I14" s="17">
        <f t="shared" si="3"/>
        <v>873106.29846153851</v>
      </c>
      <c r="J14" s="6">
        <f t="shared" si="4"/>
        <v>1481.1767299954263</v>
      </c>
      <c r="K14" s="12">
        <f t="shared" si="1"/>
        <v>874587.47519153391</v>
      </c>
      <c r="L14" s="17">
        <f t="shared" si="5"/>
        <v>258668.57957024258</v>
      </c>
      <c r="M14" t="s">
        <v>34</v>
      </c>
      <c r="N14" s="4"/>
      <c r="V14" s="17"/>
    </row>
    <row r="15" spans="1:22" x14ac:dyDescent="0.2">
      <c r="B15" s="4" t="s">
        <v>4</v>
      </c>
      <c r="C15" s="17">
        <f>1000*16410.1</f>
        <v>16410099.999999998</v>
      </c>
      <c r="D15" s="10">
        <f t="shared" si="0"/>
        <v>44959.178082191778</v>
      </c>
      <c r="E15" s="10">
        <f>D15*B7</f>
        <v>6743.8767123287662</v>
      </c>
      <c r="F15">
        <v>2172</v>
      </c>
      <c r="G15" s="10">
        <f t="shared" si="6"/>
        <v>4.3415384615384616</v>
      </c>
      <c r="H15" s="10">
        <f t="shared" si="2"/>
        <v>6038.7820699946506</v>
      </c>
      <c r="I15" s="17">
        <f t="shared" si="3"/>
        <v>16410104.341538459</v>
      </c>
      <c r="J15" s="6">
        <f t="shared" si="4"/>
        <v>23113.126985276765</v>
      </c>
      <c r="K15" s="12">
        <f t="shared" si="1"/>
        <v>16433217.468523735</v>
      </c>
      <c r="L15" s="17">
        <f t="shared" si="5"/>
        <v>2623671.8149744277</v>
      </c>
      <c r="M15" t="s">
        <v>34</v>
      </c>
      <c r="N15" s="4"/>
      <c r="P15" s="10"/>
      <c r="Q15" s="10"/>
      <c r="R15" s="10"/>
      <c r="S15" s="10"/>
      <c r="T15" s="10"/>
      <c r="U15" s="10"/>
      <c r="V15" s="17"/>
    </row>
    <row r="16" spans="1:22" x14ac:dyDescent="0.2">
      <c r="B16" s="4" t="s">
        <v>5</v>
      </c>
      <c r="C16" s="17">
        <f>1000*2165.6</f>
        <v>2165600</v>
      </c>
      <c r="D16" s="12">
        <f t="shared" si="0"/>
        <v>5933.1506849315065</v>
      </c>
      <c r="E16" s="10">
        <f>D16*B7</f>
        <v>889.97260273972597</v>
      </c>
      <c r="F16">
        <v>2699</v>
      </c>
      <c r="G16" s="10">
        <f t="shared" si="6"/>
        <v>5.1523076923076925</v>
      </c>
      <c r="H16" s="10">
        <f t="shared" si="2"/>
        <v>2193.7284345252137</v>
      </c>
      <c r="I16" s="17">
        <f t="shared" si="3"/>
        <v>2165605.1523076924</v>
      </c>
      <c r="J16" s="6">
        <f t="shared" si="4"/>
        <v>3322.8044973560764</v>
      </c>
      <c r="K16" s="12">
        <f t="shared" si="1"/>
        <v>2168927.9568050485</v>
      </c>
      <c r="L16" s="17">
        <f t="shared" si="5"/>
        <v>496487.96386931615</v>
      </c>
      <c r="M16" t="s">
        <v>34</v>
      </c>
      <c r="N16" s="4"/>
      <c r="R16" s="10"/>
      <c r="S16" s="10"/>
      <c r="T16" s="10"/>
      <c r="U16" s="10"/>
      <c r="V16" s="17"/>
    </row>
    <row r="17" spans="2:22" x14ac:dyDescent="0.2">
      <c r="B17" s="4" t="s">
        <v>6</v>
      </c>
      <c r="C17" s="17">
        <f>1000*697</f>
        <v>697000</v>
      </c>
      <c r="D17" s="12">
        <f t="shared" si="0"/>
        <v>1909.5890410958905</v>
      </c>
      <c r="E17" s="10">
        <f>D17*B$7</f>
        <v>286.43835616438355</v>
      </c>
      <c r="F17">
        <v>2179</v>
      </c>
      <c r="G17" s="10">
        <f t="shared" si="6"/>
        <v>4.3523076923076918</v>
      </c>
      <c r="H17" s="10">
        <f t="shared" si="2"/>
        <v>1244.5436468396313</v>
      </c>
      <c r="I17" s="17">
        <f t="shared" si="3"/>
        <v>697004.35230769229</v>
      </c>
      <c r="J17" s="6">
        <f t="shared" si="4"/>
        <v>982.92011976530523</v>
      </c>
      <c r="K17" s="12">
        <f t="shared" si="1"/>
        <v>697987.27242745762</v>
      </c>
      <c r="L17" s="17">
        <f t="shared" si="5"/>
        <v>200471.73899444431</v>
      </c>
      <c r="M17" t="s">
        <v>34</v>
      </c>
      <c r="N17" s="4"/>
      <c r="V17" s="17"/>
    </row>
    <row r="18" spans="2:22" x14ac:dyDescent="0.2">
      <c r="B18" s="4" t="s">
        <v>7</v>
      </c>
      <c r="C18" s="17">
        <f>1000*907.7</f>
        <v>907700</v>
      </c>
      <c r="D18" s="12">
        <f t="shared" si="0"/>
        <v>2486.8493150684931</v>
      </c>
      <c r="E18" s="10">
        <f t="shared" ref="E18:E23" si="7">D18*B$7</f>
        <v>373.02739726027397</v>
      </c>
      <c r="F18">
        <v>2732</v>
      </c>
      <c r="G18" s="10">
        <f t="shared" si="6"/>
        <v>5.2030769230769227</v>
      </c>
      <c r="H18" s="10">
        <f t="shared" si="2"/>
        <v>1420.2503691642228</v>
      </c>
      <c r="I18" s="17">
        <f t="shared" si="3"/>
        <v>907705.20307692303</v>
      </c>
      <c r="J18" s="6">
        <f t="shared" si="4"/>
        <v>1399.581232216156</v>
      </c>
      <c r="K18" s="12">
        <f t="shared" si="1"/>
        <v>909104.78430913924</v>
      </c>
      <c r="L18" s="17">
        <f t="shared" si="5"/>
        <v>253784.84412423408</v>
      </c>
      <c r="M18" t="s">
        <v>34</v>
      </c>
      <c r="N18" s="4"/>
      <c r="V18" s="17"/>
    </row>
    <row r="19" spans="2:22" x14ac:dyDescent="0.2">
      <c r="B19" s="4" t="s">
        <v>8</v>
      </c>
      <c r="C19" s="17">
        <f>1000*2269.2</f>
        <v>2269200</v>
      </c>
      <c r="D19" s="12">
        <f t="shared" si="0"/>
        <v>6216.9863013698632</v>
      </c>
      <c r="E19" s="10">
        <f t="shared" si="7"/>
        <v>932.54794520547944</v>
      </c>
      <c r="F19">
        <v>1483</v>
      </c>
      <c r="G19" s="10">
        <f t="shared" si="6"/>
        <v>3.2815384615384615</v>
      </c>
      <c r="H19" s="10">
        <f t="shared" si="2"/>
        <v>2245.5882673960218</v>
      </c>
      <c r="I19" s="17">
        <f t="shared" si="3"/>
        <v>2269203.2815384613</v>
      </c>
      <c r="J19" s="6">
        <f t="shared" si="4"/>
        <v>2778.671301802432</v>
      </c>
      <c r="K19" s="12">
        <f t="shared" si="1"/>
        <v>2271981.952840264</v>
      </c>
      <c r="L19" s="17">
        <f t="shared" si="5"/>
        <v>452183.36122786085</v>
      </c>
      <c r="M19" t="s">
        <v>34</v>
      </c>
      <c r="N19" s="4"/>
      <c r="P19" s="10"/>
      <c r="R19" s="10"/>
      <c r="S19" s="10"/>
      <c r="T19" s="10"/>
      <c r="U19" s="10"/>
      <c r="V19" s="17"/>
    </row>
    <row r="20" spans="2:22" x14ac:dyDescent="0.2">
      <c r="B20" s="4" t="s">
        <v>9</v>
      </c>
      <c r="C20" s="17">
        <f>1000*1693.8</f>
        <v>1693800</v>
      </c>
      <c r="D20" s="12">
        <f t="shared" si="0"/>
        <v>4640.5479452054797</v>
      </c>
      <c r="E20" s="10">
        <f t="shared" si="7"/>
        <v>696.08219178082197</v>
      </c>
      <c r="F20">
        <v>1437</v>
      </c>
      <c r="G20" s="10">
        <f t="shared" si="6"/>
        <v>3.2107692307692308</v>
      </c>
      <c r="H20" s="10">
        <f t="shared" si="2"/>
        <v>1940.1030900444441</v>
      </c>
      <c r="I20" s="17">
        <f t="shared" si="3"/>
        <v>1693803.2107692307</v>
      </c>
      <c r="J20" s="6">
        <f t="shared" si="4"/>
        <v>2051.59827924507</v>
      </c>
      <c r="K20" s="12">
        <f t="shared" si="1"/>
        <v>1695854.8090484757</v>
      </c>
      <c r="L20" s="17">
        <f t="shared" si="5"/>
        <v>359253.12323605624</v>
      </c>
      <c r="M20" t="s">
        <v>34</v>
      </c>
      <c r="N20" s="4"/>
      <c r="R20" s="10"/>
      <c r="S20" s="10"/>
      <c r="T20" s="10"/>
      <c r="U20" s="10"/>
      <c r="V20" s="17"/>
    </row>
    <row r="21" spans="2:22" x14ac:dyDescent="0.2">
      <c r="B21" s="4" t="s">
        <v>10</v>
      </c>
      <c r="C21" s="17">
        <f>1000*2231.5</f>
        <v>2231500</v>
      </c>
      <c r="D21" s="12">
        <f t="shared" si="0"/>
        <v>6113.6986301369861</v>
      </c>
      <c r="E21" s="10">
        <f t="shared" si="7"/>
        <v>917.05479452054794</v>
      </c>
      <c r="F21">
        <v>1664</v>
      </c>
      <c r="G21" s="10">
        <f t="shared" si="6"/>
        <v>3.56</v>
      </c>
      <c r="H21" s="10">
        <f t="shared" si="2"/>
        <v>2226.8562793518781</v>
      </c>
      <c r="I21" s="17">
        <f t="shared" si="3"/>
        <v>2231503.56</v>
      </c>
      <c r="J21" s="6">
        <f t="shared" si="4"/>
        <v>2846.0828711682125</v>
      </c>
      <c r="K21" s="12">
        <f t="shared" si="1"/>
        <v>2234349.6428711684</v>
      </c>
      <c r="L21" s="17">
        <f t="shared" si="5"/>
        <v>456564.52354680811</v>
      </c>
      <c r="M21" t="s">
        <v>34</v>
      </c>
      <c r="N21" s="4"/>
      <c r="R21" s="10"/>
      <c r="S21" s="10"/>
      <c r="T21" s="10"/>
      <c r="U21" s="10"/>
      <c r="V21" s="17"/>
    </row>
    <row r="22" spans="2:22" x14ac:dyDescent="0.2">
      <c r="B22" s="4" t="s">
        <v>11</v>
      </c>
      <c r="C22" s="17">
        <f>1000*2183.9</f>
        <v>2183900</v>
      </c>
      <c r="D22" s="12">
        <f t="shared" si="0"/>
        <v>5983.2876712328771</v>
      </c>
      <c r="E22" s="10">
        <f t="shared" si="7"/>
        <v>897.49315068493149</v>
      </c>
      <c r="F22">
        <v>1543</v>
      </c>
      <c r="G22" s="10">
        <f t="shared" si="6"/>
        <v>3.3738461538461539</v>
      </c>
      <c r="H22" s="10">
        <f t="shared" si="2"/>
        <v>2202.9777827093744</v>
      </c>
      <c r="I22" s="17">
        <f t="shared" si="3"/>
        <v>2183903.3738461537</v>
      </c>
      <c r="J22" s="6">
        <f t="shared" si="4"/>
        <v>2711.5713539235726</v>
      </c>
      <c r="K22" s="12">
        <f t="shared" si="1"/>
        <v>2186614.9452000773</v>
      </c>
      <c r="L22" s="17">
        <f t="shared" si="5"/>
        <v>442309.4222969652</v>
      </c>
      <c r="M22" t="s">
        <v>34</v>
      </c>
      <c r="N22" s="4"/>
      <c r="S22" s="10"/>
      <c r="T22" s="10"/>
      <c r="U22" s="10"/>
      <c r="V22" s="17"/>
    </row>
    <row r="23" spans="2:22" x14ac:dyDescent="0.2">
      <c r="B23" s="4" t="s">
        <v>12</v>
      </c>
      <c r="C23" s="17">
        <f>1000*3308.9</f>
        <v>3308900</v>
      </c>
      <c r="D23" s="10">
        <f t="shared" si="0"/>
        <v>9065.4794520547948</v>
      </c>
      <c r="E23" s="10">
        <f t="shared" si="7"/>
        <v>1359.8219178082193</v>
      </c>
      <c r="F23">
        <v>5252</v>
      </c>
      <c r="G23" s="10">
        <f t="shared" si="6"/>
        <v>9.08</v>
      </c>
      <c r="H23" s="10">
        <f t="shared" si="2"/>
        <v>2711.6620569516235</v>
      </c>
      <c r="I23" s="17">
        <f t="shared" si="3"/>
        <v>3308909.08</v>
      </c>
      <c r="J23" s="6">
        <f t="shared" si="4"/>
        <v>6739.880834148028</v>
      </c>
      <c r="K23" s="12">
        <f t="shared" si="1"/>
        <v>3315648.9608341479</v>
      </c>
      <c r="L23" s="17">
        <f t="shared" si="5"/>
        <v>850638.86019896867</v>
      </c>
      <c r="M23" t="s">
        <v>34</v>
      </c>
      <c r="N23" s="4"/>
      <c r="P23" s="10"/>
      <c r="Q23" s="10"/>
      <c r="R23" s="10"/>
      <c r="S23" s="10"/>
      <c r="T23" s="10"/>
      <c r="U23" s="10"/>
      <c r="V23" s="17"/>
    </row>
    <row r="24" spans="2:22" x14ac:dyDescent="0.2">
      <c r="B24" s="4" t="s">
        <v>13</v>
      </c>
      <c r="C24" s="17">
        <f>1000*3016.3</f>
        <v>3016300</v>
      </c>
      <c r="D24" s="10">
        <f t="shared" si="0"/>
        <v>8263.8356164383567</v>
      </c>
      <c r="E24" s="10">
        <f>D24*B7</f>
        <v>1239.5753424657535</v>
      </c>
      <c r="F24">
        <v>5390</v>
      </c>
      <c r="G24" s="10">
        <f>F24/B8+2</f>
        <v>19.966666666666665</v>
      </c>
      <c r="H24" s="10">
        <f t="shared" si="2"/>
        <v>2588.9937985419915</v>
      </c>
      <c r="I24" s="17">
        <f t="shared" si="3"/>
        <v>3016319.9666666668</v>
      </c>
      <c r="J24" s="6">
        <f t="shared" si="4"/>
        <v>9110.7256572096176</v>
      </c>
      <c r="K24" s="12">
        <f t="shared" si="1"/>
        <v>3025430.6923238765</v>
      </c>
      <c r="L24" s="17">
        <f t="shared" si="5"/>
        <v>1052974.7510176448</v>
      </c>
      <c r="M24" t="s">
        <v>34</v>
      </c>
      <c r="N24" s="4"/>
      <c r="P24" s="10"/>
      <c r="Q24" s="10"/>
      <c r="R24" s="10"/>
      <c r="S24" s="10"/>
      <c r="T24" s="10"/>
      <c r="U24" s="10"/>
      <c r="V24" s="17"/>
    </row>
    <row r="25" spans="2:22" x14ac:dyDescent="0.2">
      <c r="C25" s="27">
        <f>SUM(C11:C24)</f>
        <v>94703100</v>
      </c>
      <c r="D25" s="10">
        <f>SUM(D11:D24)</f>
        <v>259460.54794520553</v>
      </c>
      <c r="E25" s="10">
        <f>SUM(E11:E24)</f>
        <v>38919.082191780821</v>
      </c>
      <c r="H25" s="10"/>
      <c r="K25" s="12"/>
      <c r="L25" s="6">
        <f>SUM(L11:L24)</f>
        <v>12814371.741137622</v>
      </c>
    </row>
    <row r="27" spans="2:22" ht="33" x14ac:dyDescent="0.25">
      <c r="B27" s="28" t="s">
        <v>58</v>
      </c>
      <c r="C27" s="13" t="s">
        <v>65</v>
      </c>
      <c r="D27" s="13" t="s">
        <v>15</v>
      </c>
      <c r="E27" s="13" t="s">
        <v>16</v>
      </c>
      <c r="F27" s="13" t="s">
        <v>17</v>
      </c>
      <c r="G27" s="13" t="s">
        <v>18</v>
      </c>
      <c r="H27" s="13" t="s">
        <v>19</v>
      </c>
      <c r="I27" s="13" t="s">
        <v>51</v>
      </c>
      <c r="J27" s="13" t="s">
        <v>52</v>
      </c>
      <c r="K27" s="13" t="s">
        <v>53</v>
      </c>
      <c r="L27" s="13" t="s">
        <v>54</v>
      </c>
      <c r="M27" s="13" t="s">
        <v>55</v>
      </c>
    </row>
    <row r="28" spans="2:22" x14ac:dyDescent="0.2">
      <c r="B28" t="s">
        <v>59</v>
      </c>
      <c r="C28">
        <f>1000*111</f>
        <v>111000</v>
      </c>
      <c r="D28" s="6">
        <f t="shared" ref="D28:D33" si="8">C28/365</f>
        <v>304.10958904109589</v>
      </c>
      <c r="E28" s="12">
        <f>D28*B7</f>
        <v>45.61643835616438</v>
      </c>
      <c r="F28">
        <v>3413</v>
      </c>
      <c r="G28" s="6">
        <f>F28/B5+1</f>
        <v>6.2507692307692304</v>
      </c>
      <c r="H28" s="6">
        <f t="shared" ref="H28:H33" si="9">SQRT((2*C28*B$4)/B$3)</f>
        <v>496.65548085837798</v>
      </c>
      <c r="I28" s="6">
        <f>D28*G28</f>
        <v>1900.9188619599577</v>
      </c>
      <c r="J28" s="6">
        <f t="shared" ref="J28:J33" si="10">(NORMSINV(B$6)*SQRT((G28*E28^2)))</f>
        <v>187.59245328232959</v>
      </c>
      <c r="K28" s="12">
        <f t="shared" ref="K28:K33" si="11">I28+J28</f>
        <v>2088.5113152422873</v>
      </c>
      <c r="L28" s="17">
        <f t="shared" ref="L28:L33" si="12">((C28/H28)*B$4)+(((H28/2)+J28)*B$3)</f>
        <v>61582.314072663678</v>
      </c>
      <c r="M28" t="s">
        <v>66</v>
      </c>
    </row>
    <row r="29" spans="2:22" x14ac:dyDescent="0.2">
      <c r="B29" t="s">
        <v>60</v>
      </c>
      <c r="C29" s="10">
        <f>1000*4657.9</f>
        <v>4657900</v>
      </c>
      <c r="D29" s="6">
        <f t="shared" si="8"/>
        <v>12761.369863013699</v>
      </c>
      <c r="E29" s="12">
        <f>D29*B7</f>
        <v>1914.2054794520548</v>
      </c>
      <c r="F29">
        <v>1711</v>
      </c>
      <c r="G29" s="6">
        <f>F29/B$5+1</f>
        <v>3.6323076923076925</v>
      </c>
      <c r="H29" s="6">
        <f t="shared" si="9"/>
        <v>3217.2797343235306</v>
      </c>
      <c r="I29" s="6">
        <f>D29*G29</f>
        <v>46353.221917808223</v>
      </c>
      <c r="J29" s="6">
        <f t="shared" si="10"/>
        <v>6000.7720147968648</v>
      </c>
      <c r="K29" s="12">
        <f t="shared" si="11"/>
        <v>52353.993932605088</v>
      </c>
      <c r="L29" s="17">
        <f t="shared" si="12"/>
        <v>829624.65742083557</v>
      </c>
      <c r="M29" t="s">
        <v>66</v>
      </c>
    </row>
    <row r="30" spans="2:22" x14ac:dyDescent="0.2">
      <c r="B30" t="s">
        <v>61</v>
      </c>
      <c r="C30">
        <f>1000*550.5</f>
        <v>550500</v>
      </c>
      <c r="D30" s="6">
        <f t="shared" si="8"/>
        <v>1508.2191780821918</v>
      </c>
      <c r="E30" s="12">
        <f>D30*B$7</f>
        <v>226.23287671232876</v>
      </c>
      <c r="F30">
        <v>3110</v>
      </c>
      <c r="G30" s="6">
        <f>F30/B$5+1</f>
        <v>5.7846153846153845</v>
      </c>
      <c r="H30" s="6">
        <f t="shared" si="9"/>
        <v>1106.0440015358038</v>
      </c>
      <c r="I30" s="6">
        <f>D30*G30</f>
        <v>8724.4678609062175</v>
      </c>
      <c r="J30" s="6">
        <f t="shared" si="10"/>
        <v>894.99419579210735</v>
      </c>
      <c r="K30" s="12">
        <f t="shared" si="11"/>
        <v>9619.4620566983249</v>
      </c>
      <c r="L30" s="17">
        <f t="shared" si="12"/>
        <v>180093.43775951202</v>
      </c>
      <c r="M30" t="s">
        <v>66</v>
      </c>
      <c r="N30" s="8"/>
      <c r="O30" s="8"/>
      <c r="P30" s="8"/>
      <c r="Q30" s="8"/>
      <c r="R30" s="8"/>
      <c r="S30" s="8"/>
    </row>
    <row r="31" spans="2:22" x14ac:dyDescent="0.2">
      <c r="B31" t="s">
        <v>62</v>
      </c>
      <c r="C31">
        <f>1000*373.5</f>
        <v>373500</v>
      </c>
      <c r="D31" s="6">
        <f t="shared" si="8"/>
        <v>1023.2876712328767</v>
      </c>
      <c r="E31" s="12">
        <f>D31*B$7</f>
        <v>153.49315068493149</v>
      </c>
      <c r="F31">
        <v>583</v>
      </c>
      <c r="G31" s="6">
        <f>F31/B$5+1</f>
        <v>1.8969230769230769</v>
      </c>
      <c r="H31" s="6">
        <f t="shared" si="9"/>
        <v>911.04335791442986</v>
      </c>
      <c r="I31" s="6">
        <f>D31*G31</f>
        <v>1941.0979978925184</v>
      </c>
      <c r="J31" s="6">
        <f t="shared" si="10"/>
        <v>347.72916487069983</v>
      </c>
      <c r="K31" s="12">
        <f t="shared" si="11"/>
        <v>2288.8271627632184</v>
      </c>
      <c r="L31" s="17">
        <f t="shared" si="12"/>
        <v>113289.52705066168</v>
      </c>
      <c r="M31" t="s">
        <v>66</v>
      </c>
      <c r="N31" s="9"/>
      <c r="O31" s="9"/>
      <c r="P31" s="9"/>
      <c r="Q31" s="9"/>
      <c r="R31" s="9"/>
      <c r="S31" s="9"/>
      <c r="T31" s="8"/>
    </row>
    <row r="32" spans="2:22" x14ac:dyDescent="0.2">
      <c r="B32" t="s">
        <v>63</v>
      </c>
      <c r="C32" s="10">
        <f>1000*1475.8</f>
        <v>1475800</v>
      </c>
      <c r="D32" s="6">
        <f t="shared" si="8"/>
        <v>4043.2876712328766</v>
      </c>
      <c r="E32" s="12">
        <f>D32*B$7</f>
        <v>606.49315068493149</v>
      </c>
      <c r="F32">
        <v>3056</v>
      </c>
      <c r="G32" s="6">
        <f>F32/B$5+1</f>
        <v>5.7015384615384619</v>
      </c>
      <c r="H32" s="6">
        <f t="shared" si="9"/>
        <v>1810.9543217750015</v>
      </c>
      <c r="I32" s="6">
        <f>D31*G31</f>
        <v>1941.0979978925184</v>
      </c>
      <c r="J32" s="6">
        <f t="shared" si="10"/>
        <v>2382.04074894221</v>
      </c>
      <c r="K32" s="12">
        <f t="shared" si="11"/>
        <v>4323.1387468347284</v>
      </c>
      <c r="L32" s="17">
        <f t="shared" si="12"/>
        <v>377369.55636454909</v>
      </c>
      <c r="M32" t="s">
        <v>66</v>
      </c>
      <c r="N32" s="9"/>
      <c r="O32" s="9"/>
      <c r="P32" s="9"/>
      <c r="Q32" s="9"/>
      <c r="R32" s="9"/>
      <c r="S32" s="9"/>
      <c r="T32" s="8"/>
    </row>
    <row r="33" spans="2:20" x14ac:dyDescent="0.2">
      <c r="B33" t="s">
        <v>64</v>
      </c>
      <c r="C33">
        <f>1000*327.6</f>
        <v>327600</v>
      </c>
      <c r="D33" s="6">
        <f t="shared" si="8"/>
        <v>897.53424657534242</v>
      </c>
      <c r="E33" s="12">
        <f>D33*B$7</f>
        <v>134.63013698630135</v>
      </c>
      <c r="F33">
        <v>0</v>
      </c>
      <c r="G33" s="6">
        <f>F33/B$5+1</f>
        <v>1</v>
      </c>
      <c r="H33" s="6">
        <f t="shared" si="9"/>
        <v>853.22916030806164</v>
      </c>
      <c r="I33" s="6">
        <f>D31*G31</f>
        <v>1941.0979978925184</v>
      </c>
      <c r="J33" s="6">
        <f t="shared" si="10"/>
        <v>221.44686911889124</v>
      </c>
      <c r="K33" s="12">
        <f t="shared" si="11"/>
        <v>2162.5448670114097</v>
      </c>
      <c r="L33" s="17">
        <f t="shared" si="12"/>
        <v>96720.842648425765</v>
      </c>
      <c r="M33" t="s">
        <v>66</v>
      </c>
      <c r="N33" s="10"/>
      <c r="O33" s="10"/>
      <c r="P33" s="10"/>
      <c r="Q33" s="10"/>
      <c r="R33" s="10"/>
      <c r="S33" s="10"/>
      <c r="T33" s="17"/>
    </row>
    <row r="34" spans="2:20" x14ac:dyDescent="0.2">
      <c r="B34" t="s">
        <v>106</v>
      </c>
      <c r="C34" s="6">
        <f>SUM(C28:C33)</f>
        <v>7496300</v>
      </c>
      <c r="D34" s="12">
        <f>SUM(D28:D33)</f>
        <v>20537.808219178081</v>
      </c>
      <c r="E34" s="12">
        <f>D34*B$7</f>
        <v>3080.6712328767121</v>
      </c>
      <c r="K34" t="s">
        <v>25</v>
      </c>
      <c r="L34" s="27">
        <f>SUM(L28:L33)</f>
        <v>1658680.3353166478</v>
      </c>
      <c r="N34" s="10"/>
      <c r="O34" s="10"/>
      <c r="P34" s="10"/>
      <c r="Q34" s="10"/>
      <c r="R34" s="10"/>
      <c r="S34" s="10"/>
      <c r="T34" s="17"/>
    </row>
    <row r="35" spans="2:20" x14ac:dyDescent="0.2">
      <c r="P35" s="10"/>
      <c r="Q35" s="10"/>
      <c r="R35" s="10"/>
      <c r="S35" s="10"/>
      <c r="T35" s="17"/>
    </row>
    <row r="36" spans="2:20" x14ac:dyDescent="0.2">
      <c r="B36" s="7" t="s">
        <v>67</v>
      </c>
      <c r="T36" s="17"/>
    </row>
    <row r="37" spans="2:20" x14ac:dyDescent="0.2">
      <c r="B37" s="4" t="s">
        <v>68</v>
      </c>
      <c r="C37" s="17">
        <f>1000*393.5</f>
        <v>393500</v>
      </c>
      <c r="D37" s="12">
        <f t="shared" ref="D37:D42" si="13">C37/365</f>
        <v>1078.0821917808219</v>
      </c>
      <c r="E37" s="12">
        <f>C37*B7</f>
        <v>59025</v>
      </c>
      <c r="F37">
        <v>899</v>
      </c>
      <c r="G37" s="6">
        <f t="shared" ref="G37:G42" si="14">F37/B$5+1</f>
        <v>2.3830769230769233</v>
      </c>
      <c r="H37" s="12">
        <f t="shared" ref="H37:H42" si="15">SQRT((2*C37*B$4)/B$3)</f>
        <v>935.11734260703588</v>
      </c>
      <c r="I37" s="6">
        <f t="shared" ref="I37:I42" si="16">D37*G37</f>
        <v>2569.1527924130664</v>
      </c>
      <c r="J37">
        <f>(NORMSINV(B$6)*SQRT((G37*E37^2)))</f>
        <v>149876.06532565859</v>
      </c>
      <c r="K37" s="12">
        <f t="shared" ref="K37:K42" si="17">I37+J37</f>
        <v>152445.21811807167</v>
      </c>
      <c r="L37" s="6">
        <f>((C37/H37)*B$4)+(((H37/2)*B$3))</f>
        <v>84160.56083463323</v>
      </c>
      <c r="M37" t="s">
        <v>75</v>
      </c>
      <c r="N37" s="10"/>
      <c r="O37" s="10"/>
      <c r="P37" s="10"/>
      <c r="Q37" s="10"/>
      <c r="R37" s="10"/>
      <c r="S37" s="10"/>
      <c r="T37" s="17"/>
    </row>
    <row r="38" spans="2:20" x14ac:dyDescent="0.2">
      <c r="B38" s="4" t="s">
        <v>69</v>
      </c>
      <c r="C38" s="17">
        <f>1000*109.3</f>
        <v>109300</v>
      </c>
      <c r="D38" s="12">
        <f t="shared" si="13"/>
        <v>299.45205479452056</v>
      </c>
      <c r="E38" s="12">
        <f>C38*B7</f>
        <v>16395</v>
      </c>
      <c r="F38">
        <v>671</v>
      </c>
      <c r="G38" s="6">
        <f t="shared" si="14"/>
        <v>2.0323076923076924</v>
      </c>
      <c r="H38" s="12">
        <f t="shared" si="15"/>
        <v>492.83758875403254</v>
      </c>
      <c r="I38" s="6">
        <f t="shared" si="16"/>
        <v>608.57871443624879</v>
      </c>
      <c r="J38">
        <f t="shared" ref="J38:J42" si="18">(NORMSINV(B$6)*SQRT((G38*E38^2)))</f>
        <v>38444.428415926428</v>
      </c>
      <c r="K38" s="12">
        <f t="shared" si="17"/>
        <v>39053.007130362676</v>
      </c>
      <c r="L38" s="6">
        <f t="shared" ref="L38:L42" si="19">((C38/H38)*B$4)+(((H38/2)*B$3))</f>
        <v>44355.382987862926</v>
      </c>
      <c r="M38" t="s">
        <v>75</v>
      </c>
      <c r="P38" s="10"/>
      <c r="Q38" s="10"/>
      <c r="R38" s="10"/>
      <c r="S38" s="10"/>
      <c r="T38" s="17"/>
    </row>
    <row r="39" spans="2:20" x14ac:dyDescent="0.2">
      <c r="B39" s="4" t="s">
        <v>70</v>
      </c>
      <c r="C39" s="17">
        <f>1000*485.1</f>
        <v>485100</v>
      </c>
      <c r="D39" s="12">
        <f t="shared" si="13"/>
        <v>1329.041095890411</v>
      </c>
      <c r="E39" s="12">
        <f>C39*B7</f>
        <v>72765</v>
      </c>
      <c r="F39">
        <v>665</v>
      </c>
      <c r="G39" s="6">
        <f t="shared" si="14"/>
        <v>2.023076923076923</v>
      </c>
      <c r="H39" s="12">
        <f t="shared" si="15"/>
        <v>1038.2677881933928</v>
      </c>
      <c r="I39" s="6">
        <f t="shared" si="16"/>
        <v>2688.7523709167544</v>
      </c>
      <c r="J39">
        <f t="shared" si="18"/>
        <v>170237.79621572432</v>
      </c>
      <c r="K39" s="12">
        <f t="shared" si="17"/>
        <v>172926.54858664106</v>
      </c>
      <c r="L39" s="6">
        <f t="shared" si="19"/>
        <v>93444.100937405354</v>
      </c>
      <c r="M39" t="s">
        <v>75</v>
      </c>
      <c r="T39" s="17"/>
    </row>
    <row r="40" spans="2:20" x14ac:dyDescent="0.2">
      <c r="B40" s="4" t="s">
        <v>71</v>
      </c>
      <c r="C40" s="17">
        <f>1000*236.6</f>
        <v>236600</v>
      </c>
      <c r="D40" s="12">
        <f t="shared" si="13"/>
        <v>648.21917808219177</v>
      </c>
      <c r="E40" s="12">
        <f>C40*B7</f>
        <v>35490</v>
      </c>
      <c r="F40">
        <v>454</v>
      </c>
      <c r="G40" s="6">
        <f t="shared" si="14"/>
        <v>1.6984615384615385</v>
      </c>
      <c r="H40" s="12">
        <f t="shared" si="15"/>
        <v>725.10535632953213</v>
      </c>
      <c r="I40" s="6">
        <f t="shared" si="16"/>
        <v>1100.9753424657533</v>
      </c>
      <c r="J40">
        <f t="shared" si="18"/>
        <v>76078.355174013239</v>
      </c>
      <c r="K40" s="12">
        <f t="shared" si="17"/>
        <v>77179.330516478993</v>
      </c>
      <c r="L40" s="6">
        <f t="shared" si="19"/>
        <v>65259.482069657897</v>
      </c>
      <c r="M40" t="s">
        <v>75</v>
      </c>
      <c r="T40" s="17"/>
    </row>
    <row r="41" spans="2:20" x14ac:dyDescent="0.2">
      <c r="B41" s="4" t="s">
        <v>72</v>
      </c>
      <c r="C41" s="17">
        <f>1000*3642.5</f>
        <v>3642500</v>
      </c>
      <c r="D41" s="12">
        <f t="shared" si="13"/>
        <v>9979.4520547945212</v>
      </c>
      <c r="E41" s="12">
        <f>C41*B7</f>
        <v>546375</v>
      </c>
      <c r="F41">
        <v>3171</v>
      </c>
      <c r="G41" s="6">
        <f t="shared" si="14"/>
        <v>5.8784615384615382</v>
      </c>
      <c r="H41" s="12">
        <f t="shared" si="15"/>
        <v>2845.0737151160852</v>
      </c>
      <c r="I41" s="6">
        <f t="shared" si="16"/>
        <v>58663.825079030561</v>
      </c>
      <c r="J41">
        <f t="shared" si="18"/>
        <v>2178963.3063829774</v>
      </c>
      <c r="K41" s="12">
        <f t="shared" si="17"/>
        <v>2237627.1314620078</v>
      </c>
      <c r="L41" s="6">
        <f t="shared" si="19"/>
        <v>256056.6343604477</v>
      </c>
      <c r="M41" t="s">
        <v>75</v>
      </c>
      <c r="N41" s="10"/>
      <c r="P41" s="10"/>
      <c r="Q41" s="10"/>
      <c r="R41" s="10"/>
      <c r="S41" s="10"/>
      <c r="T41" s="17"/>
    </row>
    <row r="42" spans="2:20" x14ac:dyDescent="0.2">
      <c r="B42" s="4" t="s">
        <v>73</v>
      </c>
      <c r="C42" s="17">
        <f>1000*245.2</f>
        <v>245200</v>
      </c>
      <c r="D42" s="12">
        <f t="shared" si="13"/>
        <v>671.78082191780823</v>
      </c>
      <c r="E42" s="12">
        <f>C42*B7</f>
        <v>36780</v>
      </c>
      <c r="F42">
        <v>0</v>
      </c>
      <c r="G42" s="6">
        <f t="shared" si="14"/>
        <v>1</v>
      </c>
      <c r="H42" s="12">
        <f t="shared" si="15"/>
        <v>738.16589523554183</v>
      </c>
      <c r="I42" s="6">
        <f t="shared" si="16"/>
        <v>671.78082191780823</v>
      </c>
      <c r="J42">
        <f t="shared" si="18"/>
        <v>60497.716399275123</v>
      </c>
      <c r="K42" s="12">
        <f t="shared" si="17"/>
        <v>61169.497221192934</v>
      </c>
      <c r="L42" s="6">
        <f t="shared" si="19"/>
        <v>66434.930571198769</v>
      </c>
      <c r="M42" t="s">
        <v>75</v>
      </c>
      <c r="P42" s="10"/>
      <c r="Q42" s="10"/>
      <c r="R42" s="10"/>
      <c r="S42" s="10"/>
      <c r="T42" s="17"/>
    </row>
    <row r="43" spans="2:20" x14ac:dyDescent="0.2">
      <c r="B43" s="4" t="s">
        <v>106</v>
      </c>
      <c r="C43" s="27">
        <f>SUM(C37:C42)</f>
        <v>5112200</v>
      </c>
      <c r="D43" s="12">
        <f>SUM(D37:D42)</f>
        <v>14006.027397260274</v>
      </c>
      <c r="E43" s="12">
        <f>SUM(E37:E42)</f>
        <v>766830</v>
      </c>
      <c r="L43" s="12">
        <f>SUM(L37:L42)</f>
        <v>609711.09176120593</v>
      </c>
      <c r="P43" s="10"/>
      <c r="Q43" s="10"/>
      <c r="R43" s="10"/>
      <c r="S43" s="10"/>
      <c r="T43" s="17"/>
    </row>
    <row r="44" spans="2:20" x14ac:dyDescent="0.2">
      <c r="B44" s="7" t="s">
        <v>74</v>
      </c>
      <c r="Q44" s="10"/>
      <c r="R44" s="10"/>
      <c r="S44" s="10"/>
      <c r="T44" s="17"/>
    </row>
    <row r="45" spans="2:20" x14ac:dyDescent="0.2">
      <c r="B45" s="29" t="s">
        <v>76</v>
      </c>
      <c r="C45" s="17">
        <f>1000*793.5</f>
        <v>793500</v>
      </c>
      <c r="D45">
        <f t="shared" ref="D45:D50" si="20">C45/365</f>
        <v>2173.972602739726</v>
      </c>
      <c r="E45" s="12">
        <f>C45*B7</f>
        <v>119025</v>
      </c>
      <c r="F45">
        <v>1106</v>
      </c>
      <c r="G45" s="6">
        <f>F45/B5+1</f>
        <v>2.7015384615384614</v>
      </c>
      <c r="H45" s="6">
        <f>SQRT(((2*C45*B$4)/B$3))</f>
        <v>1327.9056191361392</v>
      </c>
      <c r="I45" s="6">
        <f t="shared" ref="I45:I50" si="21">D45*G45</f>
        <v>5873.0706006322443</v>
      </c>
      <c r="J45">
        <f>(NORMSINV(B$6)*SQRT((G45*E34^2)))</f>
        <v>8328.7185709678579</v>
      </c>
      <c r="K45" s="12">
        <f t="shared" ref="K45:K50" si="22">I45+J45</f>
        <v>14201.789171600103</v>
      </c>
      <c r="L45" s="6">
        <f>((C47/H47)*B$4)+(((H47/2)+J47)*B$3)</f>
        <v>55754.820419404095</v>
      </c>
      <c r="M45" t="s">
        <v>82</v>
      </c>
      <c r="N45" s="10"/>
      <c r="O45" s="10"/>
      <c r="P45" s="10"/>
      <c r="Q45" s="10"/>
      <c r="R45" s="10"/>
      <c r="S45" s="10"/>
      <c r="T45" s="17"/>
    </row>
    <row r="46" spans="2:20" x14ac:dyDescent="0.2">
      <c r="B46" s="29" t="s">
        <v>77</v>
      </c>
      <c r="C46" s="17">
        <f>1000*1053.6</f>
        <v>1053600</v>
      </c>
      <c r="D46">
        <f t="shared" si="20"/>
        <v>2886.5753424657532</v>
      </c>
      <c r="E46" s="12">
        <f>C46*B7</f>
        <v>158040</v>
      </c>
      <c r="F46">
        <v>902</v>
      </c>
      <c r="G46" s="6">
        <f>F46/B5+1</f>
        <v>2.3876923076923076</v>
      </c>
      <c r="H46" s="6">
        <f t="shared" ref="H46:H50" si="23">SQRT(((2*C46*B$4)/B$3))</f>
        <v>1530.1416056474425</v>
      </c>
      <c r="I46" s="6">
        <f t="shared" si="21"/>
        <v>6892.2537407797672</v>
      </c>
      <c r="J46">
        <f t="shared" ref="J46:J50" si="24">(NORMSINV(B$6)*SQRT((G46*E35^2)))</f>
        <v>0</v>
      </c>
      <c r="K46" s="12">
        <f t="shared" si="22"/>
        <v>6892.2537407797672</v>
      </c>
      <c r="L46" s="6">
        <f t="shared" ref="L46:L48" si="25">((C48/H48)*B$4)+(((H48/2)+J48)*B$3)</f>
        <v>8980517.8637131434</v>
      </c>
      <c r="M46" t="s">
        <v>82</v>
      </c>
      <c r="N46" s="10"/>
      <c r="O46" s="10"/>
      <c r="P46" s="10"/>
      <c r="Q46" s="10"/>
      <c r="R46" s="10"/>
      <c r="S46" s="10"/>
      <c r="T46" s="17"/>
    </row>
    <row r="47" spans="2:20" x14ac:dyDescent="0.2">
      <c r="B47" s="29" t="s">
        <v>78</v>
      </c>
      <c r="C47" s="17">
        <f>1000*172.7</f>
        <v>172700</v>
      </c>
      <c r="D47">
        <f t="shared" si="20"/>
        <v>473.15068493150687</v>
      </c>
      <c r="E47" s="12">
        <f>C47*B7</f>
        <v>25905</v>
      </c>
      <c r="F47">
        <v>3581</v>
      </c>
      <c r="G47" s="6">
        <f>F47/B5+1</f>
        <v>6.5092307692307694</v>
      </c>
      <c r="H47" s="6">
        <f t="shared" si="23"/>
        <v>619.49800466004547</v>
      </c>
      <c r="I47" s="6">
        <f t="shared" si="21"/>
        <v>3079.8469968387781</v>
      </c>
      <c r="J47">
        <f t="shared" si="24"/>
        <v>0</v>
      </c>
      <c r="K47" s="12">
        <f t="shared" si="22"/>
        <v>3079.8469968387781</v>
      </c>
      <c r="L47" s="6">
        <f t="shared" si="25"/>
        <v>51531861.334792681</v>
      </c>
      <c r="M47" t="s">
        <v>82</v>
      </c>
    </row>
    <row r="48" spans="2:20" x14ac:dyDescent="0.2">
      <c r="B48" s="29" t="s">
        <v>79</v>
      </c>
      <c r="C48" s="17">
        <f>1000*3270.9</f>
        <v>3270900</v>
      </c>
      <c r="D48">
        <f t="shared" si="20"/>
        <v>8961.3698630136987</v>
      </c>
      <c r="E48" s="12">
        <f>C48*B7</f>
        <v>490635</v>
      </c>
      <c r="F48">
        <v>0</v>
      </c>
      <c r="G48" s="6">
        <f>F48/B5+1</f>
        <v>1</v>
      </c>
      <c r="H48" s="6">
        <f t="shared" si="23"/>
        <v>2696.0464882243159</v>
      </c>
      <c r="I48" s="6">
        <f t="shared" si="21"/>
        <v>8961.3698630136987</v>
      </c>
      <c r="J48">
        <f t="shared" si="24"/>
        <v>97087.48533081061</v>
      </c>
      <c r="K48" s="12">
        <f t="shared" si="22"/>
        <v>106048.8551938243</v>
      </c>
      <c r="L48" s="6">
        <f t="shared" si="25"/>
        <v>15493044.788824568</v>
      </c>
      <c r="M48" t="s">
        <v>82</v>
      </c>
    </row>
    <row r="49" spans="2:13" x14ac:dyDescent="0.2">
      <c r="B49" s="29" t="s">
        <v>80</v>
      </c>
      <c r="C49" s="17">
        <f>1000*1902.4</f>
        <v>1902400</v>
      </c>
      <c r="D49">
        <f t="shared" si="20"/>
        <v>5212.0547945205481</v>
      </c>
      <c r="E49" s="12">
        <f>C49*B7</f>
        <v>285360</v>
      </c>
      <c r="F49">
        <v>4704</v>
      </c>
      <c r="G49" s="22">
        <f>F49/D4</f>
        <v>447.57373929590869</v>
      </c>
      <c r="H49" s="6">
        <f t="shared" si="23"/>
        <v>2056.102029461465</v>
      </c>
      <c r="I49" s="6">
        <f t="shared" si="21"/>
        <v>2332778.8537987308</v>
      </c>
      <c r="J49">
        <f t="shared" si="24"/>
        <v>570520.13502379053</v>
      </c>
      <c r="K49" s="12">
        <f t="shared" si="22"/>
        <v>2903298.9888225212</v>
      </c>
      <c r="L49" s="6">
        <f>((C49/H49)*B$4)+(((H49/2)+J49)*B$3)</f>
        <v>51531861.334792681</v>
      </c>
      <c r="M49" t="s">
        <v>82</v>
      </c>
    </row>
    <row r="50" spans="2:13" x14ac:dyDescent="0.2">
      <c r="B50" s="29" t="s">
        <v>81</v>
      </c>
      <c r="C50" s="10">
        <f>1000*1128.8</f>
        <v>1128800</v>
      </c>
      <c r="D50">
        <f t="shared" si="20"/>
        <v>3092.6027397260273</v>
      </c>
      <c r="E50">
        <f>C50*B7</f>
        <v>169320</v>
      </c>
      <c r="F50">
        <v>670</v>
      </c>
      <c r="G50" s="6">
        <f>F50/B5+1</f>
        <v>2.0307692307692307</v>
      </c>
      <c r="H50" s="6">
        <f t="shared" si="23"/>
        <v>1583.8069467092398</v>
      </c>
      <c r="I50" s="6">
        <f t="shared" si="21"/>
        <v>6280.3624868282395</v>
      </c>
      <c r="J50">
        <f t="shared" si="24"/>
        <v>170561.1351513415</v>
      </c>
      <c r="K50" s="12">
        <f t="shared" si="22"/>
        <v>176841.49763816973</v>
      </c>
      <c r="L50" s="6">
        <f>((C50/H50)*B$4)+(((H50/2)+J50)*B$3)</f>
        <v>15493044.788824568</v>
      </c>
      <c r="M50" t="s">
        <v>82</v>
      </c>
    </row>
    <row r="51" spans="2:13" x14ac:dyDescent="0.2">
      <c r="B51" s="29" t="s">
        <v>106</v>
      </c>
      <c r="C51" s="27">
        <f>SUM(C45:C50)</f>
        <v>8321900</v>
      </c>
      <c r="D51" s="6">
        <f>SUM(D45:D50)</f>
        <v>22799.726027397257</v>
      </c>
      <c r="E51" s="12">
        <f>SUM(E45:E50)</f>
        <v>1248285</v>
      </c>
      <c r="L51" s="12">
        <f>SUM(L45:L50)</f>
        <v>143086084.93136704</v>
      </c>
    </row>
    <row r="53" spans="2:13" x14ac:dyDescent="0.2">
      <c r="B53" s="7" t="s">
        <v>83</v>
      </c>
    </row>
    <row r="54" spans="2:13" x14ac:dyDescent="0.2">
      <c r="B54" s="4" t="s">
        <v>84</v>
      </c>
      <c r="C54" s="17">
        <f>1000*4367.6</f>
        <v>4367600</v>
      </c>
      <c r="D54" s="12">
        <f>C54/365</f>
        <v>11966.027397260274</v>
      </c>
      <c r="E54" s="12">
        <f>C54*B7</f>
        <v>655140</v>
      </c>
      <c r="F54">
        <v>1643</v>
      </c>
      <c r="G54" s="6">
        <f>F54/B5+1</f>
        <v>3.5276923076923077</v>
      </c>
      <c r="H54" s="6">
        <f>SQRT((2*C54*B$4)/B$3)</f>
        <v>3115.4097287159161</v>
      </c>
      <c r="I54" s="6">
        <f>(D54*G54)</f>
        <v>42212.462802950475</v>
      </c>
      <c r="J54" s="6">
        <f>(NORMSINV(B$6)*SQRT((G54*E54^2)))</f>
        <v>2023982.3558822069</v>
      </c>
      <c r="K54" s="12">
        <f>I54+J54</f>
        <v>2066194.8186851575</v>
      </c>
      <c r="L54" s="6">
        <f>((C54/H54)*B$4)+(((H14/2)+J54)*B$3)</f>
        <v>182361286.80412617</v>
      </c>
      <c r="M54" t="s">
        <v>100</v>
      </c>
    </row>
    <row r="55" spans="2:13" x14ac:dyDescent="0.2">
      <c r="B55" s="4" t="s">
        <v>85</v>
      </c>
      <c r="C55" s="17">
        <f>1000*56612.1</f>
        <v>56612100</v>
      </c>
      <c r="D55" s="12">
        <f>C55/365</f>
        <v>155101.64383561644</v>
      </c>
      <c r="E55" s="12">
        <f>C55*B7</f>
        <v>8491815</v>
      </c>
      <c r="F55">
        <v>0</v>
      </c>
      <c r="G55">
        <f>F55/B5+1</f>
        <v>1</v>
      </c>
      <c r="H55" s="6">
        <f>SQRT((2*C55*B$4)/B$3)</f>
        <v>11216.267947346241</v>
      </c>
      <c r="I55" s="6">
        <f>(D55*G55)</f>
        <v>155101.64383561644</v>
      </c>
      <c r="J55" s="6">
        <f>(NORMSINV(B$6)*SQRT((G55*E55^2)))</f>
        <v>13967792.702150911</v>
      </c>
      <c r="K55" s="12">
        <f>I55+J55</f>
        <v>14122894.345986528</v>
      </c>
      <c r="L55" s="6">
        <f>((C55/H55)*B$4)+(((H15/2)+J55)*B$3)</f>
        <v>1257877820.4443624</v>
      </c>
      <c r="M55" t="s">
        <v>100</v>
      </c>
    </row>
    <row r="56" spans="2:13" x14ac:dyDescent="0.2">
      <c r="B56" t="s">
        <v>106</v>
      </c>
      <c r="C56" s="27">
        <f>SUM(C54:C55)</f>
        <v>60979700</v>
      </c>
      <c r="D56" s="12">
        <f>SUM(D54:D55)</f>
        <v>167067.67123287672</v>
      </c>
      <c r="E56" s="12">
        <f>SUM(E54:E55)</f>
        <v>9146955</v>
      </c>
      <c r="L56" s="12">
        <f>SUM(L54:L55)</f>
        <v>1440239107.2484887</v>
      </c>
    </row>
    <row r="57" spans="2:13" x14ac:dyDescent="0.2">
      <c r="B57" s="7" t="s">
        <v>86</v>
      </c>
    </row>
    <row r="58" spans="2:13" x14ac:dyDescent="0.2">
      <c r="B58" s="4" t="s">
        <v>87</v>
      </c>
      <c r="C58">
        <v>549.29999999999995</v>
      </c>
      <c r="D58" s="6">
        <f t="shared" ref="D58:D70" si="26">C58/365</f>
        <v>1.504931506849315</v>
      </c>
      <c r="E58">
        <f>58*B$7</f>
        <v>8.6999999999999993</v>
      </c>
      <c r="F58">
        <v>640</v>
      </c>
      <c r="G58" s="6">
        <f>F58/B5+1</f>
        <v>1.9846153846153847</v>
      </c>
      <c r="H58" s="6">
        <f>SQRT(((2*C58*B$4)/B$3))</f>
        <v>34.938040395343677</v>
      </c>
      <c r="I58" s="6">
        <f t="shared" ref="I58:I70" si="27">D58*G58</f>
        <v>2.9867102212855636</v>
      </c>
      <c r="J58" s="6">
        <f>(NORMSINV(B$6)*SQRT((G58*E58^2)))</f>
        <v>20.159728837165265</v>
      </c>
      <c r="K58" s="12">
        <f t="shared" ref="K58:K70" si="28">I58+J58</f>
        <v>23.146439058450827</v>
      </c>
      <c r="L58" s="6">
        <f>((C58/H58)*B$4)+(((H58/2)+J58)*B$3)</f>
        <v>4958.7992309258043</v>
      </c>
      <c r="M58" t="s">
        <v>103</v>
      </c>
    </row>
    <row r="59" spans="2:13" x14ac:dyDescent="0.2">
      <c r="B59" s="4" t="s">
        <v>88</v>
      </c>
      <c r="C59" s="10">
        <v>1922.8</v>
      </c>
      <c r="D59" s="6">
        <f t="shared" si="26"/>
        <v>5.2679452054794522</v>
      </c>
      <c r="E59">
        <f>C59*B$7</f>
        <v>288.41999999999996</v>
      </c>
      <c r="F59">
        <v>908</v>
      </c>
      <c r="G59" s="6">
        <f>F59/B$5+1</f>
        <v>2.3969230769230769</v>
      </c>
      <c r="H59" s="6">
        <f t="shared" ref="H59:H70" si="29">SQRT(((2*C59*B$4)/B$3))</f>
        <v>65.367338089361482</v>
      </c>
      <c r="I59" s="6">
        <f t="shared" si="27"/>
        <v>12.62685943097998</v>
      </c>
      <c r="J59" s="6">
        <f t="shared" ref="J59:J70" si="30">(NORMSINV(B$6)*SQRT((G59*E59^2)))</f>
        <v>734.47949816722621</v>
      </c>
      <c r="K59" s="12">
        <f t="shared" si="28"/>
        <v>747.10635759820616</v>
      </c>
      <c r="L59" s="6">
        <f t="shared" ref="L59:L70" si="31">((C59/H59)*B$4)+(((H59/2)+J59)*B$3)</f>
        <v>71986.215263092905</v>
      </c>
      <c r="M59" t="s">
        <v>103</v>
      </c>
    </row>
    <row r="60" spans="2:13" x14ac:dyDescent="0.2">
      <c r="B60" s="4" t="s">
        <v>89</v>
      </c>
      <c r="C60" s="10">
        <v>4381.5</v>
      </c>
      <c r="D60" s="6">
        <f t="shared" si="26"/>
        <v>12.004109589041096</v>
      </c>
      <c r="E60">
        <f>C60*B7</f>
        <v>657.22500000000002</v>
      </c>
      <c r="F60">
        <v>0</v>
      </c>
      <c r="G60" s="6">
        <f t="shared" ref="G60:G69" si="32">F60/B$5+1</f>
        <v>1</v>
      </c>
      <c r="H60" s="6">
        <f t="shared" si="29"/>
        <v>98.674549234676846</v>
      </c>
      <c r="I60" s="6">
        <f t="shared" si="27"/>
        <v>12.004109589041096</v>
      </c>
      <c r="J60" s="6">
        <f t="shared" si="30"/>
        <v>1081.0389249731809</v>
      </c>
      <c r="K60" s="12">
        <f t="shared" si="28"/>
        <v>1093.0430345622219</v>
      </c>
      <c r="L60" s="6">
        <f t="shared" si="31"/>
        <v>106174.21267870719</v>
      </c>
      <c r="M60" t="s">
        <v>103</v>
      </c>
    </row>
    <row r="61" spans="2:13" x14ac:dyDescent="0.2">
      <c r="B61" s="4" t="s">
        <v>90</v>
      </c>
      <c r="C61" s="10">
        <v>4785.8999999999996</v>
      </c>
      <c r="D61" s="6">
        <f t="shared" si="26"/>
        <v>13.112054794520548</v>
      </c>
      <c r="E61">
        <f>C61*B7</f>
        <v>717.88499999999988</v>
      </c>
      <c r="F61">
        <v>637</v>
      </c>
      <c r="G61" s="6">
        <f t="shared" si="32"/>
        <v>1.98</v>
      </c>
      <c r="H61" s="6">
        <f t="shared" si="29"/>
        <v>103.12775248851946</v>
      </c>
      <c r="I61" s="6">
        <f t="shared" si="27"/>
        <v>25.961868493150686</v>
      </c>
      <c r="J61" s="6">
        <f t="shared" si="30"/>
        <v>1661.5550353233839</v>
      </c>
      <c r="K61" s="12">
        <f t="shared" si="28"/>
        <v>1687.5169038165345</v>
      </c>
      <c r="L61" s="6">
        <f t="shared" si="31"/>
        <v>158821.45090307132</v>
      </c>
      <c r="M61" t="s">
        <v>103</v>
      </c>
    </row>
    <row r="62" spans="2:13" x14ac:dyDescent="0.2">
      <c r="B62" s="4" t="s">
        <v>91</v>
      </c>
      <c r="C62" s="10">
        <v>144.5</v>
      </c>
      <c r="D62" s="6">
        <f t="shared" si="26"/>
        <v>0.39589041095890409</v>
      </c>
      <c r="E62">
        <f>C62*B7</f>
        <v>21.675000000000001</v>
      </c>
      <c r="F62">
        <v>1320</v>
      </c>
      <c r="G62" s="6">
        <f t="shared" si="32"/>
        <v>3.0307692307692307</v>
      </c>
      <c r="H62" s="6">
        <f t="shared" si="29"/>
        <v>17.919573407620817</v>
      </c>
      <c r="I62" s="6">
        <f t="shared" si="27"/>
        <v>1.1998524762908325</v>
      </c>
      <c r="J62" s="6">
        <f t="shared" si="30"/>
        <v>62.067292028391094</v>
      </c>
      <c r="K62" s="12">
        <f t="shared" si="28"/>
        <v>63.267144504681923</v>
      </c>
      <c r="L62" s="6">
        <f t="shared" si="31"/>
        <v>7198.8178892410724</v>
      </c>
      <c r="M62" t="s">
        <v>103</v>
      </c>
    </row>
    <row r="63" spans="2:13" x14ac:dyDescent="0.2">
      <c r="B63" s="4" t="s">
        <v>92</v>
      </c>
      <c r="C63" s="10">
        <v>5341.5</v>
      </c>
      <c r="D63" s="6">
        <f t="shared" si="26"/>
        <v>14.634246575342466</v>
      </c>
      <c r="E63">
        <f>C63*B7</f>
        <v>801.22500000000002</v>
      </c>
      <c r="F63">
        <v>678</v>
      </c>
      <c r="G63" s="6">
        <f t="shared" si="32"/>
        <v>2.043076923076923</v>
      </c>
      <c r="H63" s="6">
        <f t="shared" si="29"/>
        <v>108.94952959971879</v>
      </c>
      <c r="I63" s="6">
        <f t="shared" si="27"/>
        <v>29.898891464699684</v>
      </c>
      <c r="J63" s="6">
        <f t="shared" si="30"/>
        <v>1883.7536541289569</v>
      </c>
      <c r="K63" s="12">
        <f t="shared" si="28"/>
        <v>1913.6525455936567</v>
      </c>
      <c r="L63" s="6">
        <f t="shared" si="31"/>
        <v>179343.28653558082</v>
      </c>
      <c r="M63" t="s">
        <v>103</v>
      </c>
    </row>
    <row r="64" spans="2:13" x14ac:dyDescent="0.2">
      <c r="B64" s="4" t="s">
        <v>93</v>
      </c>
      <c r="C64" s="10">
        <v>1391.9</v>
      </c>
      <c r="D64" s="6">
        <f t="shared" si="26"/>
        <v>3.813424657534247</v>
      </c>
      <c r="E64">
        <f>C64*B7</f>
        <v>208.785</v>
      </c>
      <c r="F64">
        <v>564</v>
      </c>
      <c r="G64" s="6">
        <f t="shared" si="32"/>
        <v>1.8676923076923075</v>
      </c>
      <c r="H64" s="6">
        <f t="shared" si="29"/>
        <v>55.615745172667708</v>
      </c>
      <c r="I64" s="6">
        <f t="shared" si="27"/>
        <v>7.1223038988408849</v>
      </c>
      <c r="J64" s="6">
        <f t="shared" si="30"/>
        <v>469.33097275414372</v>
      </c>
      <c r="K64" s="12">
        <f t="shared" si="28"/>
        <v>476.45327665298458</v>
      </c>
      <c r="L64" s="6">
        <f t="shared" si="31"/>
        <v>47245.204613413029</v>
      </c>
      <c r="M64" t="s">
        <v>103</v>
      </c>
    </row>
    <row r="65" spans="1:13" x14ac:dyDescent="0.2">
      <c r="B65" s="4" t="s">
        <v>94</v>
      </c>
      <c r="C65" s="10">
        <v>591.9</v>
      </c>
      <c r="D65" s="6">
        <f t="shared" si="26"/>
        <v>1.6216438356164382</v>
      </c>
      <c r="E65">
        <f>C65*B7</f>
        <v>88.784999999999997</v>
      </c>
      <c r="F65">
        <v>1375</v>
      </c>
      <c r="G65" s="6">
        <f t="shared" si="32"/>
        <v>3.1153846153846154</v>
      </c>
      <c r="H65" s="6">
        <f t="shared" si="29"/>
        <v>36.267524499658549</v>
      </c>
      <c r="I65" s="6">
        <f t="shared" si="27"/>
        <v>5.0520442571127502</v>
      </c>
      <c r="J65" s="6">
        <f t="shared" si="30"/>
        <v>257.76425446426384</v>
      </c>
      <c r="K65" s="12">
        <f t="shared" si="28"/>
        <v>262.8162987213766</v>
      </c>
      <c r="L65" s="6">
        <f t="shared" si="31"/>
        <v>26462.860106753014</v>
      </c>
      <c r="M65" t="s">
        <v>103</v>
      </c>
    </row>
    <row r="66" spans="1:13" x14ac:dyDescent="0.2">
      <c r="B66" s="4" t="s">
        <v>95</v>
      </c>
      <c r="C66" s="10">
        <v>362.1</v>
      </c>
      <c r="D66" s="6">
        <f t="shared" si="26"/>
        <v>0.99205479452054801</v>
      </c>
      <c r="E66">
        <f>C66*B7</f>
        <v>54.315000000000005</v>
      </c>
      <c r="F66">
        <v>795</v>
      </c>
      <c r="G66" s="6">
        <f t="shared" si="32"/>
        <v>2.2230769230769232</v>
      </c>
      <c r="H66" s="6">
        <f t="shared" si="29"/>
        <v>28.36664708185771</v>
      </c>
      <c r="I66" s="6">
        <f t="shared" si="27"/>
        <v>2.205414120126449</v>
      </c>
      <c r="J66" s="6">
        <f t="shared" si="30"/>
        <v>133.20615295507866</v>
      </c>
      <c r="K66" s="12">
        <f t="shared" si="28"/>
        <v>135.41156707520511</v>
      </c>
      <c r="L66" s="6">
        <f t="shared" si="31"/>
        <v>14541.552003324274</v>
      </c>
      <c r="M66" t="s">
        <v>103</v>
      </c>
    </row>
    <row r="67" spans="1:13" x14ac:dyDescent="0.2">
      <c r="B67" s="4" t="s">
        <v>96</v>
      </c>
      <c r="C67" s="10">
        <v>1650.2</v>
      </c>
      <c r="D67" s="6">
        <f t="shared" si="26"/>
        <v>4.5210958904109591</v>
      </c>
      <c r="E67">
        <f>C67*B7</f>
        <v>247.53</v>
      </c>
      <c r="F67">
        <v>603</v>
      </c>
      <c r="G67" s="6">
        <f t="shared" si="32"/>
        <v>1.9276923076923076</v>
      </c>
      <c r="H67" s="6">
        <f t="shared" si="29"/>
        <v>60.5566768499652</v>
      </c>
      <c r="I67" s="6">
        <f t="shared" si="27"/>
        <v>8.7152817702845091</v>
      </c>
      <c r="J67" s="6">
        <f t="shared" si="30"/>
        <v>565.29345317878062</v>
      </c>
      <c r="K67" s="12">
        <f t="shared" si="28"/>
        <v>574.00873494906511</v>
      </c>
      <c r="L67" s="6">
        <f t="shared" si="31"/>
        <v>56326.51170258713</v>
      </c>
      <c r="M67" t="s">
        <v>103</v>
      </c>
    </row>
    <row r="68" spans="1:13" x14ac:dyDescent="0.2">
      <c r="B68" s="4" t="s">
        <v>97</v>
      </c>
      <c r="C68" s="10">
        <v>1288.0999999999999</v>
      </c>
      <c r="D68" s="6">
        <f t="shared" si="26"/>
        <v>3.5290410958904106</v>
      </c>
      <c r="E68">
        <f>C68*B7</f>
        <v>193.21499999999997</v>
      </c>
      <c r="F68">
        <v>345</v>
      </c>
      <c r="G68" s="6">
        <f t="shared" si="32"/>
        <v>1.5307692307692307</v>
      </c>
      <c r="H68" s="6">
        <f t="shared" si="29"/>
        <v>53.501817206936479</v>
      </c>
      <c r="I68" s="6">
        <f t="shared" si="27"/>
        <v>5.402147523709167</v>
      </c>
      <c r="J68" s="6">
        <f t="shared" si="30"/>
        <v>393.20855496878983</v>
      </c>
      <c r="K68" s="12">
        <f t="shared" si="28"/>
        <v>398.610702492499</v>
      </c>
      <c r="L68" s="6">
        <f t="shared" si="31"/>
        <v>40203.93349581537</v>
      </c>
      <c r="M68" t="s">
        <v>103</v>
      </c>
    </row>
    <row r="69" spans="1:13" x14ac:dyDescent="0.2">
      <c r="B69" s="4" t="s">
        <v>98</v>
      </c>
      <c r="C69" s="10">
        <v>1438.5</v>
      </c>
      <c r="D69" s="6">
        <f t="shared" si="26"/>
        <v>3.941095890410959</v>
      </c>
      <c r="E69">
        <f>C69*B7</f>
        <v>215.77500000000001</v>
      </c>
      <c r="F69">
        <v>2032</v>
      </c>
      <c r="G69" s="6">
        <f t="shared" si="32"/>
        <v>4.1261538461538461</v>
      </c>
      <c r="H69" s="6">
        <f t="shared" si="29"/>
        <v>56.539072035775988</v>
      </c>
      <c r="I69" s="6">
        <f t="shared" si="27"/>
        <v>16.261567966280296</v>
      </c>
      <c r="J69" s="6">
        <f t="shared" si="30"/>
        <v>720.94326744761236</v>
      </c>
      <c r="K69" s="12">
        <f t="shared" si="28"/>
        <v>737.20483541389262</v>
      </c>
      <c r="L69" s="6">
        <f t="shared" si="31"/>
        <v>69973.410553504946</v>
      </c>
      <c r="M69" t="s">
        <v>103</v>
      </c>
    </row>
    <row r="70" spans="1:13" x14ac:dyDescent="0.2">
      <c r="B70" s="4" t="s">
        <v>99</v>
      </c>
      <c r="C70" s="10">
        <v>8808.2999999999993</v>
      </c>
      <c r="D70" s="6">
        <f t="shared" si="26"/>
        <v>24.132328767123287</v>
      </c>
      <c r="E70">
        <f>C70*B7</f>
        <v>1321.2449999999999</v>
      </c>
      <c r="F70">
        <v>720</v>
      </c>
      <c r="G70" s="6">
        <f>F70/B8+2</f>
        <v>4.4000000000000004</v>
      </c>
      <c r="H70" s="6">
        <f t="shared" si="29"/>
        <v>139.90711204224036</v>
      </c>
      <c r="I70" s="6">
        <f t="shared" si="27"/>
        <v>106.18224657534248</v>
      </c>
      <c r="J70" s="6">
        <f t="shared" si="30"/>
        <v>4558.6573712578274</v>
      </c>
      <c r="K70" s="12">
        <f t="shared" si="28"/>
        <v>4664.8396178331695</v>
      </c>
      <c r="L70" s="6">
        <f t="shared" si="31"/>
        <v>422870.80349700601</v>
      </c>
      <c r="M70" t="s">
        <v>103</v>
      </c>
    </row>
    <row r="71" spans="1:13" x14ac:dyDescent="0.2">
      <c r="B71" s="4" t="s">
        <v>106</v>
      </c>
      <c r="C71" s="6">
        <f>SUM(C58:C70)</f>
        <v>32656.5</v>
      </c>
      <c r="D71" s="12">
        <f>SUM(D58:D70)</f>
        <v>89.469863013698642</v>
      </c>
      <c r="E71">
        <f>SUM(E58:E70)</f>
        <v>4824.7800000000007</v>
      </c>
      <c r="L71" s="12">
        <f>SUM(L58:L70)</f>
        <v>1206107.0584730229</v>
      </c>
    </row>
    <row r="72" spans="1:13" ht="50" x14ac:dyDescent="0.3">
      <c r="A72" s="36" t="s">
        <v>102</v>
      </c>
      <c r="B72" s="13" t="s">
        <v>65</v>
      </c>
      <c r="C72" s="13" t="s">
        <v>15</v>
      </c>
      <c r="D72" s="13" t="s">
        <v>16</v>
      </c>
      <c r="E72" s="13" t="s">
        <v>104</v>
      </c>
      <c r="F72" s="13" t="s">
        <v>18</v>
      </c>
      <c r="G72" s="13" t="s">
        <v>19</v>
      </c>
      <c r="H72" s="13" t="s">
        <v>51</v>
      </c>
      <c r="I72" s="13" t="s">
        <v>52</v>
      </c>
      <c r="J72" s="13" t="s">
        <v>53</v>
      </c>
      <c r="K72" s="13" t="s">
        <v>54</v>
      </c>
      <c r="L72" s="13" t="s">
        <v>105</v>
      </c>
    </row>
    <row r="73" spans="1:13" x14ac:dyDescent="0.2">
      <c r="A73" t="s">
        <v>34</v>
      </c>
      <c r="B73" s="27">
        <f>C25</f>
        <v>94703100</v>
      </c>
      <c r="C73" s="27">
        <f>D25</f>
        <v>259460.54794520553</v>
      </c>
      <c r="D73" s="10">
        <f>E25</f>
        <v>38919.082191780821</v>
      </c>
      <c r="E73">
        <v>8287</v>
      </c>
      <c r="F73" s="6">
        <f>E73/B$8+2</f>
        <v>29.623333333333335</v>
      </c>
      <c r="G73" s="6">
        <f>SQRT((2*B73*B$4)/B$3)</f>
        <v>14506.940867506606</v>
      </c>
      <c r="H73" s="6">
        <f t="shared" ref="H73:H78" si="33">C73*F73</f>
        <v>7686086.2986301389</v>
      </c>
      <c r="I73" s="6">
        <f>(NORMSINV(B$6)*SQRT((F73*D73^2)))</f>
        <v>348422.99493828247</v>
      </c>
      <c r="J73" s="12">
        <f t="shared" ref="J73:J78" si="34">H73+I73</f>
        <v>8034509.2935684212</v>
      </c>
      <c r="K73" s="6">
        <f>((B73/G73)*B$4)+(((G73/2)+I73)*B$3)</f>
        <v>32663694.222521015</v>
      </c>
      <c r="L73" t="s">
        <v>100</v>
      </c>
    </row>
    <row r="74" spans="1:13" x14ac:dyDescent="0.2">
      <c r="A74" t="s">
        <v>103</v>
      </c>
      <c r="B74" s="12">
        <f>C71</f>
        <v>32656.5</v>
      </c>
      <c r="C74" s="12">
        <f>D71</f>
        <v>89.469863013698642</v>
      </c>
      <c r="D74">
        <f>E71</f>
        <v>4824.7800000000007</v>
      </c>
      <c r="E74">
        <v>5580</v>
      </c>
      <c r="F74" s="6">
        <f>E74/D1</f>
        <v>0.93</v>
      </c>
      <c r="G74" s="6">
        <f t="shared" ref="G74:G78" si="35">SQRT((2*B74*B$4)/B$3)</f>
        <v>269.38819573247821</v>
      </c>
      <c r="H74" s="6">
        <f t="shared" si="33"/>
        <v>83.206972602739739</v>
      </c>
      <c r="I74" s="6">
        <f t="shared" ref="I74:I78" si="36">(NORMSINV(B$6)*SQRT((F74*D74^2)))</f>
        <v>7653.2560991725331</v>
      </c>
      <c r="J74" s="12">
        <f t="shared" si="34"/>
        <v>7736.4630717752725</v>
      </c>
      <c r="K74" s="6">
        <f t="shared" ref="K74:K78" si="37">((B74/G74)*B$4)+(((G74/2)+I74)*B$3)</f>
        <v>713037.98654145107</v>
      </c>
      <c r="L74" t="s">
        <v>100</v>
      </c>
    </row>
    <row r="75" spans="1:13" x14ac:dyDescent="0.2">
      <c r="A75" t="s">
        <v>66</v>
      </c>
      <c r="B75" s="27">
        <f>C43</f>
        <v>5112200</v>
      </c>
      <c r="C75" s="12">
        <f>D34</f>
        <v>20537.808219178081</v>
      </c>
      <c r="D75" s="12">
        <f>E34</f>
        <v>3080.6712328767121</v>
      </c>
      <c r="E75">
        <v>3500</v>
      </c>
      <c r="F75" s="6">
        <f>E75/D1</f>
        <v>0.58333333333333337</v>
      </c>
      <c r="G75" s="6">
        <f t="shared" si="35"/>
        <v>3370.5258409400221</v>
      </c>
      <c r="H75" s="6">
        <f t="shared" si="33"/>
        <v>11980.388127853881</v>
      </c>
      <c r="I75" s="6">
        <f t="shared" si="36"/>
        <v>3870.1785979159981</v>
      </c>
      <c r="J75" s="12">
        <f t="shared" si="34"/>
        <v>15850.566725769879</v>
      </c>
      <c r="K75" s="6">
        <f t="shared" si="37"/>
        <v>651663.39949704183</v>
      </c>
      <c r="L75" t="s">
        <v>100</v>
      </c>
    </row>
    <row r="76" spans="1:13" x14ac:dyDescent="0.2">
      <c r="A76" t="s">
        <v>82</v>
      </c>
      <c r="B76" s="27">
        <f>C51</f>
        <v>8321900</v>
      </c>
      <c r="C76" s="12">
        <f>D51</f>
        <v>22799.726027397257</v>
      </c>
      <c r="D76" s="12">
        <f>E51</f>
        <v>1248285</v>
      </c>
      <c r="E76">
        <v>8672</v>
      </c>
      <c r="F76" s="6">
        <f>E76/D1</f>
        <v>1.4453333333333334</v>
      </c>
      <c r="G76" s="6">
        <f t="shared" si="35"/>
        <v>4300.3617418899903</v>
      </c>
      <c r="H76" s="6">
        <f t="shared" si="33"/>
        <v>32953.204018264834</v>
      </c>
      <c r="I76" s="6">
        <f t="shared" si="36"/>
        <v>2468453.883815031</v>
      </c>
      <c r="J76" s="12">
        <f t="shared" si="34"/>
        <v>2501407.087833296</v>
      </c>
      <c r="K76" s="6">
        <f t="shared" si="37"/>
        <v>222547882.1001229</v>
      </c>
      <c r="L76" t="s">
        <v>100</v>
      </c>
    </row>
    <row r="77" spans="1:13" x14ac:dyDescent="0.2">
      <c r="A77" t="s">
        <v>100</v>
      </c>
      <c r="B77" s="27">
        <f>C56</f>
        <v>60979700</v>
      </c>
      <c r="C77" s="27">
        <f>C56</f>
        <v>60979700</v>
      </c>
      <c r="D77" s="12">
        <f>E51</f>
        <v>1248285</v>
      </c>
      <c r="E77">
        <v>0</v>
      </c>
      <c r="F77" s="6">
        <v>1</v>
      </c>
      <c r="G77" s="6">
        <f t="shared" si="35"/>
        <v>11640.89534548114</v>
      </c>
      <c r="H77" s="6">
        <f t="shared" si="33"/>
        <v>60979700</v>
      </c>
      <c r="I77" s="6">
        <f t="shared" si="36"/>
        <v>2053246.1097191176</v>
      </c>
      <c r="J77" s="12">
        <f t="shared" si="34"/>
        <v>63032946.10971912</v>
      </c>
      <c r="K77" s="6">
        <f t="shared" si="37"/>
        <v>185839830.45581388</v>
      </c>
      <c r="L77" t="s">
        <v>100</v>
      </c>
    </row>
    <row r="78" spans="1:13" x14ac:dyDescent="0.2">
      <c r="A78" t="s">
        <v>75</v>
      </c>
      <c r="B78" s="27">
        <f>C43</f>
        <v>5112200</v>
      </c>
      <c r="C78" s="12">
        <f>D43</f>
        <v>14006.027397260274</v>
      </c>
      <c r="D78" s="12">
        <f>E43</f>
        <v>766830</v>
      </c>
      <c r="E78">
        <v>6580</v>
      </c>
      <c r="F78" s="6">
        <f>E78/D1</f>
        <v>1.0966666666666667</v>
      </c>
      <c r="G78" s="6">
        <f t="shared" si="35"/>
        <v>3370.5258409400221</v>
      </c>
      <c r="H78" s="6">
        <f t="shared" si="33"/>
        <v>15359.943378995433</v>
      </c>
      <c r="I78" s="6">
        <f t="shared" si="36"/>
        <v>1320880.9400040281</v>
      </c>
      <c r="J78" s="12">
        <f t="shared" si="34"/>
        <v>1336240.8833830236</v>
      </c>
      <c r="K78" s="6">
        <f t="shared" si="37"/>
        <v>119182631.92604713</v>
      </c>
      <c r="L78" t="s">
        <v>100</v>
      </c>
    </row>
    <row r="79" spans="1:13" x14ac:dyDescent="0.2">
      <c r="B79" s="27">
        <f>SUM(B73:B78)</f>
        <v>174261756.5</v>
      </c>
      <c r="C79" s="27">
        <f>SUM(C73:C78)</f>
        <v>61296593.579452053</v>
      </c>
      <c r="D79" s="10">
        <f>SUM(D73:D78)</f>
        <v>3310224.5334246578</v>
      </c>
      <c r="K79" s="12">
        <f>SUM(K73:K78)</f>
        <v>561598740.09054339</v>
      </c>
    </row>
    <row r="80" spans="1:13" ht="21" x14ac:dyDescent="0.25">
      <c r="A80" s="37" t="s">
        <v>107</v>
      </c>
    </row>
    <row r="81" spans="1:11" x14ac:dyDescent="0.2">
      <c r="A81" t="s">
        <v>100</v>
      </c>
      <c r="B81" s="27">
        <f>B79</f>
        <v>174261756.5</v>
      </c>
      <c r="C81" s="27">
        <f>C79</f>
        <v>61296593.579452053</v>
      </c>
      <c r="D81" s="10">
        <f>D79</f>
        <v>3310224.5334246578</v>
      </c>
      <c r="K81" s="12">
        <f>K79</f>
        <v>561598740.09054339</v>
      </c>
    </row>
    <row r="83" spans="1:11" ht="24" x14ac:dyDescent="0.3">
      <c r="A83" s="40" t="s">
        <v>147</v>
      </c>
    </row>
    <row r="84" spans="1:11" ht="21" x14ac:dyDescent="0.25">
      <c r="A84" s="31" t="s">
        <v>110</v>
      </c>
      <c r="B84" s="38" t="s">
        <v>115</v>
      </c>
      <c r="C84" s="38" t="s">
        <v>49</v>
      </c>
      <c r="D84" s="38" t="s">
        <v>19</v>
      </c>
      <c r="E84" s="38" t="s">
        <v>134</v>
      </c>
      <c r="F84" s="38" t="s">
        <v>50</v>
      </c>
      <c r="G84" s="38" t="s">
        <v>136</v>
      </c>
      <c r="H84" s="38" t="s">
        <v>118</v>
      </c>
      <c r="I84" s="38" t="s">
        <v>146</v>
      </c>
      <c r="J84" s="38" t="s">
        <v>150</v>
      </c>
    </row>
    <row r="85" spans="1:11" x14ac:dyDescent="0.2">
      <c r="A85" t="s">
        <v>59</v>
      </c>
      <c r="B85">
        <f>1000*111</f>
        <v>111000</v>
      </c>
      <c r="C85" s="6">
        <f t="shared" ref="C85:C90" si="38">B85/365</f>
        <v>304.10958904109589</v>
      </c>
      <c r="D85" s="6">
        <f>SQRT((2*B85*B$5)/B$4)</f>
        <v>1201.2493496356201</v>
      </c>
      <c r="E85" s="12">
        <f>B85/D$85</f>
        <v>92.40379612581691</v>
      </c>
      <c r="F85">
        <v>3413</v>
      </c>
      <c r="G85" s="6">
        <f>D$2*F85*H85*1.3</f>
        <v>1012.9075839580447</v>
      </c>
      <c r="H85" s="35">
        <f>D85/B$163</f>
        <v>0.13588793547914255</v>
      </c>
      <c r="I85" s="11">
        <f t="shared" ref="I85:I90" si="39">E85*G85</f>
        <v>93596.50588235294</v>
      </c>
      <c r="J85" t="s">
        <v>66</v>
      </c>
    </row>
    <row r="86" spans="1:11" x14ac:dyDescent="0.2">
      <c r="A86" t="s">
        <v>60</v>
      </c>
      <c r="B86" s="10">
        <f>1000*4657.9</f>
        <v>4657900</v>
      </c>
      <c r="C86" s="6">
        <f t="shared" si="38"/>
        <v>12761.369863013699</v>
      </c>
      <c r="D86" s="6">
        <f t="shared" ref="D86:D91" si="40">SQRT((2*B86*B$5)/B$4)</f>
        <v>7781.5615399481358</v>
      </c>
      <c r="E86" s="12">
        <f>B86/D86</f>
        <v>598.58165691908732</v>
      </c>
      <c r="F86">
        <v>1711</v>
      </c>
      <c r="G86" s="6">
        <f t="shared" ref="G86:G90" si="41">D$2*F86*H86*1.3</f>
        <v>3289.4033846103116</v>
      </c>
      <c r="H86" s="35">
        <f t="shared" ref="H86:H90" si="42">D86/B$163</f>
        <v>0.8802671425280697</v>
      </c>
      <c r="I86" s="11">
        <f t="shared" si="39"/>
        <v>1968976.5282352942</v>
      </c>
      <c r="J86" t="s">
        <v>66</v>
      </c>
    </row>
    <row r="87" spans="1:11" x14ac:dyDescent="0.2">
      <c r="A87" t="s">
        <v>61</v>
      </c>
      <c r="B87">
        <f>1000*550.5</f>
        <v>550500</v>
      </c>
      <c r="C87" s="6">
        <f t="shared" si="38"/>
        <v>1508.2191780821918</v>
      </c>
      <c r="D87" s="6">
        <f t="shared" si="40"/>
        <v>2675.1635464023502</v>
      </c>
      <c r="E87" s="12">
        <f>B87/D87</f>
        <v>205.78181126171927</v>
      </c>
      <c r="F87">
        <v>3110</v>
      </c>
      <c r="G87" s="6">
        <f t="shared" si="41"/>
        <v>2055.4697790063237</v>
      </c>
      <c r="H87" s="35">
        <f t="shared" si="42"/>
        <v>0.30262031067899892</v>
      </c>
      <c r="I87" s="11">
        <f t="shared" si="39"/>
        <v>422978.29411764711</v>
      </c>
      <c r="J87" t="s">
        <v>66</v>
      </c>
    </row>
    <row r="88" spans="1:11" x14ac:dyDescent="0.2">
      <c r="A88" t="s">
        <v>62</v>
      </c>
      <c r="B88">
        <f>1000*373.5</f>
        <v>373500</v>
      </c>
      <c r="C88" s="6">
        <f t="shared" si="38"/>
        <v>1023.2876712328767</v>
      </c>
      <c r="D88" s="6">
        <f t="shared" si="40"/>
        <v>2203.5199114144625</v>
      </c>
      <c r="E88" s="12">
        <f>B88/D88</f>
        <v>169.50153164726632</v>
      </c>
      <c r="F88">
        <v>583</v>
      </c>
      <c r="G88" s="6">
        <f t="shared" si="41"/>
        <v>317.38463853467368</v>
      </c>
      <c r="H88" s="35">
        <f t="shared" si="42"/>
        <v>0.24926695830480344</v>
      </c>
      <c r="I88" s="11">
        <f t="shared" si="39"/>
        <v>53797.18235294117</v>
      </c>
      <c r="J88" t="s">
        <v>66</v>
      </c>
    </row>
    <row r="89" spans="1:11" x14ac:dyDescent="0.2">
      <c r="A89" t="s">
        <v>63</v>
      </c>
      <c r="B89" s="10">
        <f>1000*1475.8</f>
        <v>1475800</v>
      </c>
      <c r="C89" s="6">
        <f t="shared" si="38"/>
        <v>4043.2876712328766</v>
      </c>
      <c r="D89" s="6">
        <f t="shared" si="40"/>
        <v>4380.1141537635749</v>
      </c>
      <c r="E89" s="12">
        <f>B89/D89</f>
        <v>336.93185798181349</v>
      </c>
      <c r="F89">
        <v>3056</v>
      </c>
      <c r="G89" s="6">
        <f t="shared" si="41"/>
        <v>3307.0377168462492</v>
      </c>
      <c r="H89" s="35">
        <f t="shared" si="42"/>
        <v>0.49548802644384332</v>
      </c>
      <c r="I89" s="11">
        <f t="shared" si="39"/>
        <v>1114246.3623529412</v>
      </c>
      <c r="J89" t="s">
        <v>66</v>
      </c>
    </row>
    <row r="90" spans="1:11" x14ac:dyDescent="0.2">
      <c r="A90" t="s">
        <v>64</v>
      </c>
      <c r="B90">
        <f>1000*327.6</f>
        <v>327600</v>
      </c>
      <c r="C90" s="6">
        <f t="shared" si="38"/>
        <v>897.53424657534242</v>
      </c>
      <c r="D90" s="6">
        <f t="shared" si="40"/>
        <v>2063.6860226303806</v>
      </c>
      <c r="E90" s="12">
        <f>B90/D90</f>
        <v>158.74507866387543</v>
      </c>
      <c r="F90">
        <v>0</v>
      </c>
      <c r="G90" s="6">
        <f t="shared" si="41"/>
        <v>0</v>
      </c>
      <c r="H90" s="35">
        <f t="shared" si="42"/>
        <v>0.23344864509393445</v>
      </c>
      <c r="I90">
        <f t="shared" si="39"/>
        <v>0</v>
      </c>
      <c r="J90" t="s">
        <v>66</v>
      </c>
    </row>
    <row r="91" spans="1:11" x14ac:dyDescent="0.2">
      <c r="B91" s="6">
        <f>SUM(B85:B90)</f>
        <v>7496300</v>
      </c>
      <c r="C91" s="12">
        <f>SUM(C85:C90)</f>
        <v>20537.808219178081</v>
      </c>
      <c r="D91" s="6">
        <f t="shared" si="40"/>
        <v>9871.7728904184169</v>
      </c>
      <c r="E91" s="12"/>
      <c r="I91" s="11">
        <f>SUM(I85:I90)</f>
        <v>3653594.8729411764</v>
      </c>
    </row>
    <row r="93" spans="1:11" ht="21" x14ac:dyDescent="0.25">
      <c r="A93" s="31" t="s">
        <v>57</v>
      </c>
      <c r="B93" s="38" t="s">
        <v>115</v>
      </c>
      <c r="C93" s="38" t="s">
        <v>49</v>
      </c>
      <c r="D93" s="38" t="s">
        <v>19</v>
      </c>
      <c r="E93" s="38" t="s">
        <v>134</v>
      </c>
      <c r="F93" s="38" t="s">
        <v>50</v>
      </c>
      <c r="G93" s="38" t="s">
        <v>116</v>
      </c>
      <c r="H93" s="38" t="s">
        <v>118</v>
      </c>
      <c r="I93" s="38" t="s">
        <v>146</v>
      </c>
      <c r="J93" s="38" t="s">
        <v>150</v>
      </c>
    </row>
    <row r="94" spans="1:11" x14ac:dyDescent="0.2">
      <c r="A94" s="4" t="s">
        <v>0</v>
      </c>
      <c r="B94" s="17">
        <f>1000*52722</f>
        <v>52722000</v>
      </c>
      <c r="C94" s="10">
        <f t="shared" ref="C94:C107" si="43">B94/365</f>
        <v>144443.83561643836</v>
      </c>
      <c r="D94" s="6">
        <f>SQRT((2*B94*B$5)/B$4)</f>
        <v>26179.877769004193</v>
      </c>
      <c r="E94" s="6">
        <f t="shared" ref="E94:E108" si="44">B94/D94</f>
        <v>2013.836751461861</v>
      </c>
      <c r="F94" s="9">
        <v>0</v>
      </c>
      <c r="G94">
        <v>0</v>
      </c>
      <c r="H94" s="35">
        <f>D94/B$163</f>
        <v>2.9615246345027368</v>
      </c>
      <c r="I94" s="12">
        <f t="shared" ref="I94:I103" si="45">E94*G94</f>
        <v>0</v>
      </c>
      <c r="J94" t="s">
        <v>34</v>
      </c>
    </row>
    <row r="95" spans="1:11" x14ac:dyDescent="0.2">
      <c r="A95" s="4" t="s">
        <v>1</v>
      </c>
      <c r="B95" s="17">
        <f>1000*3614.1</f>
        <v>3614100</v>
      </c>
      <c r="C95" s="10">
        <f t="shared" si="43"/>
        <v>9901.6438356164381</v>
      </c>
      <c r="D95" s="6">
        <f t="shared" ref="D95:D108" si="46">SQRT((2*B95*B$5)/B$4)</f>
        <v>6854.4365195105574</v>
      </c>
      <c r="E95" s="6">
        <f t="shared" si="44"/>
        <v>527.2643476546582</v>
      </c>
      <c r="F95">
        <v>1223</v>
      </c>
      <c r="G95" s="6">
        <f>D3*F95*H95*1.3</f>
        <v>320.52554771675989</v>
      </c>
      <c r="H95" s="35">
        <f t="shared" ref="H95:H107" si="47">D95/B$163</f>
        <v>0.77538874655096801</v>
      </c>
      <c r="I95" s="11">
        <f t="shared" si="45"/>
        <v>169001.69382352941</v>
      </c>
      <c r="J95" t="s">
        <v>34</v>
      </c>
    </row>
    <row r="96" spans="1:11" x14ac:dyDescent="0.2">
      <c r="A96" s="4" t="s">
        <v>2</v>
      </c>
      <c r="B96" s="17">
        <f>1000*2609.9</f>
        <v>2609900</v>
      </c>
      <c r="C96" s="12">
        <f t="shared" si="43"/>
        <v>7150.41095890411</v>
      </c>
      <c r="D96" s="6">
        <f t="shared" si="46"/>
        <v>5824.8347616048304</v>
      </c>
      <c r="E96" s="6">
        <f t="shared" si="44"/>
        <v>448.06421243114079</v>
      </c>
      <c r="F96">
        <v>2343</v>
      </c>
      <c r="G96" s="6">
        <f>D2*F96*H96*1.3</f>
        <v>3371.7569973557938</v>
      </c>
      <c r="H96" s="35">
        <f t="shared" si="47"/>
        <v>0.65891795945756004</v>
      </c>
      <c r="I96" s="11">
        <f t="shared" si="45"/>
        <v>1510763.6435294119</v>
      </c>
      <c r="J96" t="s">
        <v>34</v>
      </c>
    </row>
    <row r="97" spans="1:10" x14ac:dyDescent="0.2">
      <c r="A97" s="4" t="s">
        <v>3</v>
      </c>
      <c r="B97" s="17">
        <f>1000*873.1</f>
        <v>873100</v>
      </c>
      <c r="C97" s="12">
        <f t="shared" si="43"/>
        <v>2392.0547945205481</v>
      </c>
      <c r="D97" s="6">
        <f t="shared" si="46"/>
        <v>3369.020629203686</v>
      </c>
      <c r="E97" s="6">
        <f t="shared" si="44"/>
        <v>259.15543301566817</v>
      </c>
      <c r="F97">
        <v>3444</v>
      </c>
      <c r="G97" s="6">
        <f>D$3*F97*H97*1.3</f>
        <v>443.64056356090424</v>
      </c>
      <c r="H97" s="35">
        <f t="shared" si="47"/>
        <v>0.38111093090539433</v>
      </c>
      <c r="I97" s="11">
        <f t="shared" si="45"/>
        <v>114971.8623529412</v>
      </c>
      <c r="J97" t="s">
        <v>34</v>
      </c>
    </row>
    <row r="98" spans="1:10" x14ac:dyDescent="0.2">
      <c r="A98" s="4" t="s">
        <v>4</v>
      </c>
      <c r="B98" s="17">
        <f>1000*16410.1</f>
        <v>16410099.999999998</v>
      </c>
      <c r="C98" s="10">
        <f t="shared" si="43"/>
        <v>44959.178082191778</v>
      </c>
      <c r="D98" s="6">
        <f t="shared" si="46"/>
        <v>14605.865260230219</v>
      </c>
      <c r="E98" s="6">
        <f t="shared" si="44"/>
        <v>1123.5280969407861</v>
      </c>
      <c r="F98">
        <v>2172</v>
      </c>
      <c r="G98" s="6">
        <f t="shared" ref="G98:G107" si="48">D$3*F98*H98*1.3</f>
        <v>1212.9741514348839</v>
      </c>
      <c r="H98" s="35">
        <f t="shared" si="47"/>
        <v>1.652247201383509</v>
      </c>
      <c r="I98" s="11">
        <f t="shared" si="45"/>
        <v>1362810.54</v>
      </c>
      <c r="J98" t="s">
        <v>34</v>
      </c>
    </row>
    <row r="99" spans="1:10" x14ac:dyDescent="0.2">
      <c r="A99" s="4" t="s">
        <v>5</v>
      </c>
      <c r="B99" s="17">
        <f>1000*2165.6</f>
        <v>2165600</v>
      </c>
      <c r="C99" s="12">
        <f t="shared" si="43"/>
        <v>5933.1506849315065</v>
      </c>
      <c r="D99" s="6">
        <f t="shared" si="46"/>
        <v>5305.9212206741249</v>
      </c>
      <c r="E99" s="6">
        <f t="shared" si="44"/>
        <v>408.147786205702</v>
      </c>
      <c r="F99">
        <v>2699</v>
      </c>
      <c r="G99" s="6">
        <f t="shared" si="48"/>
        <v>547.55546432292067</v>
      </c>
      <c r="H99" s="35">
        <f t="shared" si="47"/>
        <v>0.60021733265544397</v>
      </c>
      <c r="I99" s="11">
        <f t="shared" si="45"/>
        <v>223483.55058823532</v>
      </c>
      <c r="J99" t="s">
        <v>34</v>
      </c>
    </row>
    <row r="100" spans="1:10" x14ac:dyDescent="0.2">
      <c r="A100" s="4" t="s">
        <v>6</v>
      </c>
      <c r="B100" s="17">
        <f>1000*697</f>
        <v>697000</v>
      </c>
      <c r="C100" s="12">
        <f t="shared" si="43"/>
        <v>1909.5890410958905</v>
      </c>
      <c r="D100" s="6">
        <f t="shared" si="46"/>
        <v>3010.1494979485656</v>
      </c>
      <c r="E100" s="6">
        <f t="shared" si="44"/>
        <v>231.54996138065886</v>
      </c>
      <c r="F100">
        <v>2179</v>
      </c>
      <c r="G100" s="6">
        <f t="shared" si="48"/>
        <v>250.78972008349712</v>
      </c>
      <c r="H100" s="35">
        <f t="shared" si="47"/>
        <v>0.34051464908920426</v>
      </c>
      <c r="I100" s="11">
        <f t="shared" si="45"/>
        <v>58070.35</v>
      </c>
      <c r="J100" t="s">
        <v>34</v>
      </c>
    </row>
    <row r="101" spans="1:10" x14ac:dyDescent="0.2">
      <c r="A101" s="4" t="s">
        <v>7</v>
      </c>
      <c r="B101" s="17">
        <f>1000*907.7</f>
        <v>907700</v>
      </c>
      <c r="C101" s="12">
        <f t="shared" si="43"/>
        <v>2486.8493150684931</v>
      </c>
      <c r="D101" s="6">
        <f t="shared" si="46"/>
        <v>3435.1273629954394</v>
      </c>
      <c r="E101" s="6">
        <f t="shared" si="44"/>
        <v>264.24056638426453</v>
      </c>
      <c r="F101">
        <v>2732</v>
      </c>
      <c r="G101" s="6">
        <f t="shared" si="48"/>
        <v>358.82936301219422</v>
      </c>
      <c r="H101" s="35">
        <f t="shared" si="47"/>
        <v>0.38858906821215378</v>
      </c>
      <c r="I101" s="11">
        <f t="shared" si="45"/>
        <v>94817.274117647059</v>
      </c>
      <c r="J101" t="s">
        <v>34</v>
      </c>
    </row>
    <row r="102" spans="1:10" x14ac:dyDescent="0.2">
      <c r="A102" s="4" t="s">
        <v>8</v>
      </c>
      <c r="B102" s="17">
        <f>1000*2269.2</f>
        <v>2269200</v>
      </c>
      <c r="C102" s="12">
        <f t="shared" si="43"/>
        <v>6216.9863013698632</v>
      </c>
      <c r="D102" s="6">
        <f t="shared" si="46"/>
        <v>5431.353422490567</v>
      </c>
      <c r="E102" s="6">
        <f t="shared" si="44"/>
        <v>417.79641711465905</v>
      </c>
      <c r="F102">
        <v>1483</v>
      </c>
      <c r="G102" s="6">
        <f t="shared" si="48"/>
        <v>307.97371362410485</v>
      </c>
      <c r="H102" s="35">
        <f t="shared" si="47"/>
        <v>0.61440649575685147</v>
      </c>
      <c r="I102" s="11">
        <f t="shared" si="45"/>
        <v>128670.31411764707</v>
      </c>
      <c r="J102" t="s">
        <v>34</v>
      </c>
    </row>
    <row r="103" spans="1:10" x14ac:dyDescent="0.2">
      <c r="A103" s="4" t="s">
        <v>9</v>
      </c>
      <c r="B103" s="17">
        <f>1000*1693.8</f>
        <v>1693800</v>
      </c>
      <c r="C103" s="12">
        <f t="shared" si="43"/>
        <v>4640.5479452054797</v>
      </c>
      <c r="D103" s="6">
        <f t="shared" si="46"/>
        <v>4692.4833510626331</v>
      </c>
      <c r="E103" s="6">
        <f t="shared" si="44"/>
        <v>360.96025777404873</v>
      </c>
      <c r="F103">
        <v>1437</v>
      </c>
      <c r="G103" s="6">
        <f t="shared" si="48"/>
        <v>257.82435729765012</v>
      </c>
      <c r="H103" s="35">
        <f t="shared" si="47"/>
        <v>0.53082390849124805</v>
      </c>
      <c r="I103" s="11">
        <f t="shared" si="45"/>
        <v>93064.346470588236</v>
      </c>
      <c r="J103" t="s">
        <v>34</v>
      </c>
    </row>
    <row r="104" spans="1:10" x14ac:dyDescent="0.2">
      <c r="A104" s="4" t="s">
        <v>10</v>
      </c>
      <c r="B104" s="17">
        <f>1000*2231.5</f>
        <v>2231500</v>
      </c>
      <c r="C104" s="12">
        <f t="shared" si="43"/>
        <v>6113.6986301369861</v>
      </c>
      <c r="D104" s="6">
        <f t="shared" si="46"/>
        <v>5386.0467877655874</v>
      </c>
      <c r="E104" s="6">
        <f t="shared" si="44"/>
        <v>414.31129136658359</v>
      </c>
      <c r="F104">
        <v>1664</v>
      </c>
      <c r="G104" s="6">
        <f t="shared" si="48"/>
        <v>342.67930621454468</v>
      </c>
      <c r="H104" s="35">
        <f t="shared" si="47"/>
        <v>0.60928131083321124</v>
      </c>
      <c r="I104" s="11">
        <f>E14*G104</f>
        <v>122956.15161202149</v>
      </c>
      <c r="J104" t="s">
        <v>34</v>
      </c>
    </row>
    <row r="105" spans="1:10" x14ac:dyDescent="0.2">
      <c r="A105" s="4" t="s">
        <v>11</v>
      </c>
      <c r="B105" s="17">
        <f>1000*2183.9</f>
        <v>2183900</v>
      </c>
      <c r="C105" s="12">
        <f t="shared" si="43"/>
        <v>5983.2876712328771</v>
      </c>
      <c r="D105" s="6">
        <f>SQRT((2*B105*B$5)/B$4)</f>
        <v>5328.2924093934635</v>
      </c>
      <c r="E105" s="6">
        <f t="shared" si="44"/>
        <v>409.86864687642026</v>
      </c>
      <c r="F105">
        <v>1543</v>
      </c>
      <c r="G105" s="6">
        <f t="shared" si="48"/>
        <v>314.35358070595146</v>
      </c>
      <c r="H105" s="35">
        <f t="shared" si="47"/>
        <v>0.60274801011238277</v>
      </c>
      <c r="I105" s="11">
        <f>E105*G105</f>
        <v>128843.67676470589</v>
      </c>
      <c r="J105" t="s">
        <v>34</v>
      </c>
    </row>
    <row r="106" spans="1:10" x14ac:dyDescent="0.2">
      <c r="A106" s="4" t="s">
        <v>12</v>
      </c>
      <c r="B106" s="17">
        <f>1000*3308.9</f>
        <v>3308900</v>
      </c>
      <c r="C106" s="10">
        <f t="shared" si="43"/>
        <v>9065.4794520547948</v>
      </c>
      <c r="D106" s="6">
        <f t="shared" si="46"/>
        <v>6558.6355288276236</v>
      </c>
      <c r="E106" s="6">
        <f t="shared" si="44"/>
        <v>504.51042529443254</v>
      </c>
      <c r="F106">
        <v>5252</v>
      </c>
      <c r="G106" s="6">
        <f t="shared" si="48"/>
        <v>1317.0511746065731</v>
      </c>
      <c r="H106" s="35">
        <f t="shared" si="47"/>
        <v>0.74192709602122442</v>
      </c>
      <c r="I106" s="11">
        <f>E106*G106</f>
        <v>664466.04823529418</v>
      </c>
      <c r="J106" t="s">
        <v>34</v>
      </c>
    </row>
    <row r="107" spans="1:10" x14ac:dyDescent="0.2">
      <c r="A107" s="4" t="s">
        <v>13</v>
      </c>
      <c r="B107" s="17">
        <f>1000*3016.3</f>
        <v>3016300</v>
      </c>
      <c r="C107" s="10">
        <f t="shared" si="43"/>
        <v>8263.8356164383567</v>
      </c>
      <c r="D107" s="6">
        <f t="shared" si="46"/>
        <v>6261.9405937776191</v>
      </c>
      <c r="E107" s="6">
        <f t="shared" si="44"/>
        <v>481.68773798289374</v>
      </c>
      <c r="F107">
        <v>5390</v>
      </c>
      <c r="G107" s="6">
        <f t="shared" si="48"/>
        <v>1290.5122864882289</v>
      </c>
      <c r="H107" s="35">
        <f t="shared" si="47"/>
        <v>0.70836432056307908</v>
      </c>
      <c r="I107" s="11">
        <f>E107*G107</f>
        <v>621623.94411764713</v>
      </c>
    </row>
    <row r="108" spans="1:10" x14ac:dyDescent="0.2">
      <c r="B108" s="27">
        <f>SUM(B94:B107)</f>
        <v>94703100</v>
      </c>
      <c r="C108" s="10">
        <f>SUM(C94:C107)</f>
        <v>259460.54794520553</v>
      </c>
      <c r="D108" s="6">
        <f t="shared" si="46"/>
        <v>35087.608923949207</v>
      </c>
      <c r="E108" s="6">
        <f t="shared" si="44"/>
        <v>2699.0468403037853</v>
      </c>
      <c r="I108" s="12">
        <f>SUM(I94:I107)</f>
        <v>5293543.3957296684</v>
      </c>
    </row>
    <row r="109" spans="1:10" ht="21" x14ac:dyDescent="0.25">
      <c r="A109" s="31" t="s">
        <v>111</v>
      </c>
      <c r="B109" s="38" t="s">
        <v>115</v>
      </c>
      <c r="C109" s="38" t="s">
        <v>49</v>
      </c>
      <c r="D109" s="38" t="s">
        <v>19</v>
      </c>
      <c r="E109" s="38" t="s">
        <v>134</v>
      </c>
      <c r="F109" s="38" t="s">
        <v>50</v>
      </c>
      <c r="G109" s="38" t="s">
        <v>116</v>
      </c>
      <c r="H109" s="38" t="s">
        <v>118</v>
      </c>
      <c r="I109" s="38" t="s">
        <v>144</v>
      </c>
      <c r="J109" s="38" t="s">
        <v>150</v>
      </c>
    </row>
    <row r="110" spans="1:10" x14ac:dyDescent="0.2">
      <c r="A110" s="4" t="s">
        <v>68</v>
      </c>
      <c r="B110" s="17">
        <f>1000*393.5</f>
        <v>393500</v>
      </c>
      <c r="C110" s="12">
        <f t="shared" ref="C110:C115" si="49">B110/365</f>
        <v>1078.0821917808219</v>
      </c>
      <c r="D110" s="6">
        <f>SQRT((2*B110*B$5)/B$4)</f>
        <v>2261.7471123005771</v>
      </c>
      <c r="E110" s="6">
        <f t="shared" ref="E110:E116" si="50">B110/D110</f>
        <v>173.98054710004442</v>
      </c>
      <c r="F110">
        <v>899</v>
      </c>
      <c r="G110" s="6">
        <f>D$2*F110*H110*1.3</f>
        <v>502.3473380367364</v>
      </c>
      <c r="H110" s="35">
        <f>D110/B$163</f>
        <v>0.25585374573535941</v>
      </c>
      <c r="I110" s="11">
        <f t="shared" ref="I110:I115" si="51">E110*G110</f>
        <v>87398.664705882358</v>
      </c>
      <c r="J110" t="s">
        <v>75</v>
      </c>
    </row>
    <row r="111" spans="1:10" x14ac:dyDescent="0.2">
      <c r="A111" s="4" t="s">
        <v>69</v>
      </c>
      <c r="B111" s="17">
        <f>1000*109.3</f>
        <v>109300</v>
      </c>
      <c r="C111" s="12">
        <f t="shared" si="49"/>
        <v>299.45205479452056</v>
      </c>
      <c r="D111" s="6">
        <f t="shared" ref="D111:D116" si="52">SQRT((2*B111*B$5)/B$4)</f>
        <v>1192.0151005754919</v>
      </c>
      <c r="E111" s="6">
        <f t="shared" si="50"/>
        <v>91.693469275037828</v>
      </c>
      <c r="F111">
        <v>671</v>
      </c>
      <c r="G111" s="6">
        <f t="shared" ref="G111:G115" si="53">D$2*F111*H111*1.3</f>
        <v>197.60805626128538</v>
      </c>
      <c r="H111" s="35">
        <f t="shared" ref="H111:H115" si="54">D111/B$163</f>
        <v>0.13484333716917329</v>
      </c>
      <c r="I111" s="11">
        <f t="shared" si="51"/>
        <v>18119.368235294118</v>
      </c>
      <c r="J111" t="s">
        <v>75</v>
      </c>
    </row>
    <row r="112" spans="1:10" x14ac:dyDescent="0.2">
      <c r="A112" s="4" t="s">
        <v>70</v>
      </c>
      <c r="B112" s="17">
        <f>1000*485.1</f>
        <v>485100</v>
      </c>
      <c r="C112" s="12">
        <f t="shared" si="49"/>
        <v>1329.041095890411</v>
      </c>
      <c r="D112" s="6">
        <f t="shared" si="52"/>
        <v>2511.2347560512935</v>
      </c>
      <c r="E112" s="6">
        <f t="shared" si="50"/>
        <v>193.17190431163797</v>
      </c>
      <c r="F112">
        <v>665</v>
      </c>
      <c r="G112" s="6">
        <f t="shared" si="53"/>
        <v>412.58109845007431</v>
      </c>
      <c r="H112" s="35">
        <f t="shared" si="54"/>
        <v>0.28407632987005582</v>
      </c>
      <c r="I112" s="11">
        <f t="shared" si="51"/>
        <v>79699.076470588247</v>
      </c>
      <c r="J112" t="s">
        <v>75</v>
      </c>
    </row>
    <row r="113" spans="1:10" x14ac:dyDescent="0.2">
      <c r="A113" s="4" t="s">
        <v>71</v>
      </c>
      <c r="B113" s="17">
        <f>1000*236.6</f>
        <v>236600</v>
      </c>
      <c r="C113" s="12">
        <f t="shared" si="49"/>
        <v>648.21917808219177</v>
      </c>
      <c r="D113" s="6">
        <f t="shared" si="52"/>
        <v>1753.7958832201655</v>
      </c>
      <c r="E113" s="6">
        <f t="shared" si="50"/>
        <v>134.9073756323204</v>
      </c>
      <c r="F113">
        <v>454</v>
      </c>
      <c r="G113" s="6">
        <f t="shared" si="53"/>
        <v>196.71399941907129</v>
      </c>
      <c r="H113" s="35">
        <f t="shared" si="54"/>
        <v>0.19839319945929473</v>
      </c>
      <c r="I113" s="11">
        <f t="shared" si="51"/>
        <v>26538.169411764706</v>
      </c>
      <c r="J113" t="s">
        <v>75</v>
      </c>
    </row>
    <row r="114" spans="1:10" x14ac:dyDescent="0.2">
      <c r="A114" s="4" t="s">
        <v>72</v>
      </c>
      <c r="B114" s="17">
        <f>1000*3642.5</f>
        <v>3642500</v>
      </c>
      <c r="C114" s="12">
        <f t="shared" si="49"/>
        <v>9979.4520547945212</v>
      </c>
      <c r="D114" s="6">
        <f t="shared" si="52"/>
        <v>6881.3152812525605</v>
      </c>
      <c r="E114" s="6">
        <f t="shared" si="50"/>
        <v>529.33194471173533</v>
      </c>
      <c r="F114">
        <v>3171</v>
      </c>
      <c r="G114" s="6">
        <f t="shared" si="53"/>
        <v>5390.9843046339911</v>
      </c>
      <c r="H114" s="35">
        <f t="shared" si="54"/>
        <v>0.77842933045843443</v>
      </c>
      <c r="I114" s="11">
        <f t="shared" si="51"/>
        <v>2853620.2058823528</v>
      </c>
      <c r="J114" t="s">
        <v>75</v>
      </c>
    </row>
    <row r="115" spans="1:10" x14ac:dyDescent="0.2">
      <c r="A115" s="4" t="s">
        <v>73</v>
      </c>
      <c r="B115" s="17">
        <f>1000*245.2</f>
        <v>245200</v>
      </c>
      <c r="C115" s="12">
        <f t="shared" si="49"/>
        <v>671.78082191780823</v>
      </c>
      <c r="D115" s="6">
        <f t="shared" si="52"/>
        <v>1785.3851125177448</v>
      </c>
      <c r="E115" s="6">
        <f t="shared" si="50"/>
        <v>137.33731634751882</v>
      </c>
      <c r="F115">
        <v>0</v>
      </c>
      <c r="G115" s="6">
        <f t="shared" si="53"/>
        <v>0</v>
      </c>
      <c r="H115" s="35">
        <f t="shared" si="54"/>
        <v>0.2019666416875277</v>
      </c>
      <c r="I115">
        <f t="shared" si="51"/>
        <v>0</v>
      </c>
      <c r="J115" t="s">
        <v>75</v>
      </c>
    </row>
    <row r="116" spans="1:10" x14ac:dyDescent="0.2">
      <c r="B116" s="27">
        <f>SUM(B110:B115)</f>
        <v>5112200</v>
      </c>
      <c r="C116" s="12">
        <f>SUM(C110:C115)</f>
        <v>14006.027397260274</v>
      </c>
      <c r="D116" s="6">
        <f t="shared" si="52"/>
        <v>8152.2144230877539</v>
      </c>
      <c r="E116" s="6">
        <f t="shared" si="50"/>
        <v>627.09341716059646</v>
      </c>
      <c r="I116" s="11">
        <f>SUM(I110:I115)</f>
        <v>3065375.4847058821</v>
      </c>
    </row>
    <row r="117" spans="1:10" ht="21" x14ac:dyDescent="0.25">
      <c r="A117" s="32" t="s">
        <v>74</v>
      </c>
      <c r="B117" s="38" t="s">
        <v>115</v>
      </c>
      <c r="C117" s="38" t="s">
        <v>49</v>
      </c>
      <c r="D117" s="38" t="s">
        <v>19</v>
      </c>
      <c r="E117" s="38" t="s">
        <v>134</v>
      </c>
      <c r="F117" s="38" t="s">
        <v>50</v>
      </c>
      <c r="G117" s="38" t="s">
        <v>116</v>
      </c>
      <c r="H117" s="38" t="s">
        <v>118</v>
      </c>
      <c r="I117" s="38" t="s">
        <v>144</v>
      </c>
      <c r="J117" s="38" t="s">
        <v>150</v>
      </c>
    </row>
    <row r="118" spans="1:10" x14ac:dyDescent="0.2">
      <c r="A118" s="29" t="s">
        <v>76</v>
      </c>
      <c r="B118" s="17">
        <f>1000*793.5</f>
        <v>793500</v>
      </c>
      <c r="C118">
        <f t="shared" ref="C118:C123" si="55">B118/365</f>
        <v>2173.972602739726</v>
      </c>
      <c r="D118" s="6">
        <f>SQRT((2*B118*B$5)/B$4)</f>
        <v>3211.7752100668563</v>
      </c>
      <c r="E118" s="6">
        <f t="shared" ref="E118:E124" si="56">B118/D118</f>
        <v>247.05963154360435</v>
      </c>
      <c r="F118">
        <v>1106</v>
      </c>
      <c r="G118" s="6">
        <f>D$2*F118*H118*1.3</f>
        <v>877.60812975309182</v>
      </c>
      <c r="H118" s="35">
        <f>D118/B$163</f>
        <v>0.36332298756412401</v>
      </c>
      <c r="I118" s="11">
        <f t="shared" ref="I118:I123" si="57">E118*G118</f>
        <v>216821.54117647058</v>
      </c>
      <c r="J118" t="s">
        <v>82</v>
      </c>
    </row>
    <row r="119" spans="1:10" x14ac:dyDescent="0.2">
      <c r="A119" s="29" t="s">
        <v>77</v>
      </c>
      <c r="B119" s="17">
        <f>1000*1053.6</f>
        <v>1053600</v>
      </c>
      <c r="C119">
        <f t="shared" si="55"/>
        <v>2886.5753424657532</v>
      </c>
      <c r="D119" s="6">
        <f t="shared" ref="D119:D124" si="58">SQRT((2*B119*B$5)/B$4)</f>
        <v>3700.9188048375231</v>
      </c>
      <c r="E119" s="6">
        <f t="shared" si="56"/>
        <v>284.6860619105787</v>
      </c>
      <c r="F119">
        <v>902</v>
      </c>
      <c r="G119" s="6">
        <f t="shared" ref="G119:G123" si="59">D$2*F119*H119*1.3</f>
        <v>824.73887060273364</v>
      </c>
      <c r="H119" s="35">
        <f t="shared" ref="H119:H123" si="60">D119/B$163</f>
        <v>0.41865597339790983</v>
      </c>
      <c r="I119" s="11">
        <f t="shared" si="57"/>
        <v>234791.66117647057</v>
      </c>
      <c r="J119" t="s">
        <v>82</v>
      </c>
    </row>
    <row r="120" spans="1:10" x14ac:dyDescent="0.2">
      <c r="A120" s="29" t="s">
        <v>78</v>
      </c>
      <c r="B120" s="17">
        <f>1000*172.7</f>
        <v>172700</v>
      </c>
      <c r="C120">
        <f t="shared" si="55"/>
        <v>473.15068493150687</v>
      </c>
      <c r="D120" s="6">
        <f t="shared" si="58"/>
        <v>1498.3657764377829</v>
      </c>
      <c r="E120" s="6">
        <f t="shared" si="56"/>
        <v>115.25890587982946</v>
      </c>
      <c r="F120">
        <v>3581</v>
      </c>
      <c r="G120" s="6">
        <f t="shared" si="59"/>
        <v>1325.6306441635024</v>
      </c>
      <c r="H120" s="35">
        <f t="shared" si="60"/>
        <v>0.1694983909997492</v>
      </c>
      <c r="I120" s="11">
        <f t="shared" si="57"/>
        <v>152790.73764705882</v>
      </c>
      <c r="J120" t="s">
        <v>82</v>
      </c>
    </row>
    <row r="121" spans="1:10" x14ac:dyDescent="0.2">
      <c r="A121" s="29" t="s">
        <v>79</v>
      </c>
      <c r="B121" s="17">
        <f>1000*3270.9</f>
        <v>3270900</v>
      </c>
      <c r="C121">
        <f t="shared" si="55"/>
        <v>8961.3698630136987</v>
      </c>
      <c r="D121" s="6">
        <f t="shared" si="58"/>
        <v>6520.8665068378759</v>
      </c>
      <c r="E121" s="6">
        <f t="shared" si="56"/>
        <v>501.60511591060583</v>
      </c>
      <c r="F121">
        <v>0</v>
      </c>
      <c r="G121" s="6">
        <f t="shared" si="59"/>
        <v>0</v>
      </c>
      <c r="H121" s="35">
        <f t="shared" si="60"/>
        <v>0.73765458222147917</v>
      </c>
      <c r="I121" s="11">
        <f t="shared" si="57"/>
        <v>0</v>
      </c>
      <c r="J121" t="s">
        <v>82</v>
      </c>
    </row>
    <row r="122" spans="1:10" x14ac:dyDescent="0.2">
      <c r="A122" s="29" t="s">
        <v>80</v>
      </c>
      <c r="B122" s="17">
        <f>1000*1902.4</f>
        <v>1902400</v>
      </c>
      <c r="C122">
        <f t="shared" si="55"/>
        <v>5212.0547945205481</v>
      </c>
      <c r="D122" s="6">
        <f t="shared" si="58"/>
        <v>4973.0473554954206</v>
      </c>
      <c r="E122" s="6">
        <f t="shared" si="56"/>
        <v>382.54210426887857</v>
      </c>
      <c r="F122">
        <v>4704</v>
      </c>
      <c r="G122" s="6">
        <f t="shared" si="59"/>
        <v>5779.5001172383481</v>
      </c>
      <c r="H122" s="35">
        <f t="shared" si="60"/>
        <v>0.56256191804246836</v>
      </c>
      <c r="I122" s="11">
        <f t="shared" si="57"/>
        <v>2210902.1364705879</v>
      </c>
      <c r="J122" t="s">
        <v>82</v>
      </c>
    </row>
    <row r="123" spans="1:10" x14ac:dyDescent="0.2">
      <c r="A123" s="29" t="s">
        <v>81</v>
      </c>
      <c r="B123" s="10">
        <f>1000*1128.8</f>
        <v>1128800</v>
      </c>
      <c r="C123">
        <f t="shared" si="55"/>
        <v>3092.6027397260273</v>
      </c>
      <c r="D123" s="6">
        <f t="shared" si="58"/>
        <v>3830.7179483746909</v>
      </c>
      <c r="E123" s="12">
        <f t="shared" si="56"/>
        <v>294.67061141343777</v>
      </c>
      <c r="F123">
        <v>670</v>
      </c>
      <c r="G123" s="6">
        <f t="shared" si="59"/>
        <v>634.09648863096356</v>
      </c>
      <c r="H123" s="35">
        <f t="shared" si="60"/>
        <v>0.43333913443152611</v>
      </c>
      <c r="I123" s="11">
        <f t="shared" si="57"/>
        <v>186849.60000000003</v>
      </c>
      <c r="J123" t="s">
        <v>82</v>
      </c>
    </row>
    <row r="124" spans="1:10" x14ac:dyDescent="0.2">
      <c r="B124" s="27">
        <f>SUM(B118:B123)</f>
        <v>8321900</v>
      </c>
      <c r="C124" s="6">
        <f>SUM(C118:C123)</f>
        <v>22799.726027397257</v>
      </c>
      <c r="D124" s="6">
        <f t="shared" si="58"/>
        <v>10401.187432211767</v>
      </c>
      <c r="E124" s="12">
        <f t="shared" si="56"/>
        <v>800.09134093936655</v>
      </c>
      <c r="I124" s="11">
        <f>SUM(I118:I123)</f>
        <v>3002155.676470588</v>
      </c>
    </row>
    <row r="125" spans="1:10" ht="21" x14ac:dyDescent="0.25">
      <c r="A125" s="33" t="s">
        <v>112</v>
      </c>
      <c r="B125" s="38" t="s">
        <v>115</v>
      </c>
      <c r="C125" s="38" t="s">
        <v>49</v>
      </c>
      <c r="D125" s="38" t="s">
        <v>19</v>
      </c>
      <c r="E125" s="38" t="s">
        <v>134</v>
      </c>
      <c r="F125" s="38" t="s">
        <v>50</v>
      </c>
      <c r="G125" s="38" t="s">
        <v>116</v>
      </c>
      <c r="H125" s="38" t="s">
        <v>118</v>
      </c>
      <c r="I125" s="38" t="s">
        <v>144</v>
      </c>
      <c r="J125" s="38" t="s">
        <v>150</v>
      </c>
    </row>
    <row r="126" spans="1:10" x14ac:dyDescent="0.2">
      <c r="A126" s="4" t="s">
        <v>87</v>
      </c>
      <c r="B126">
        <v>549.29999999999995</v>
      </c>
      <c r="C126" s="6">
        <f t="shared" ref="C126:C138" si="61">B126/365</f>
        <v>1.504931506849315</v>
      </c>
      <c r="D126" s="6">
        <f>SQRT((2*B126*B$5)/B$4)</f>
        <v>84.503846066318175</v>
      </c>
      <c r="E126" s="12">
        <f t="shared" ref="E126:E139" si="62">B126/D126</f>
        <v>6.5002958512552453</v>
      </c>
      <c r="F126">
        <v>640</v>
      </c>
      <c r="G126" s="6">
        <f>D$2*F126*H126*1.3</f>
        <v>13.361549307427252</v>
      </c>
      <c r="H126" s="35">
        <f>D126/B$163</f>
        <v>9.5592586047871242E-3</v>
      </c>
      <c r="I126" s="11">
        <f t="shared" ref="I126:I138" si="63">E126*G126</f>
        <v>86.854023529411762</v>
      </c>
      <c r="J126" t="s">
        <v>103</v>
      </c>
    </row>
    <row r="127" spans="1:10" x14ac:dyDescent="0.2">
      <c r="A127" s="4" t="s">
        <v>88</v>
      </c>
      <c r="B127" s="10">
        <v>1922.8</v>
      </c>
      <c r="C127" s="6">
        <f t="shared" si="61"/>
        <v>5.2679452054794522</v>
      </c>
      <c r="D127" s="6">
        <f t="shared" ref="D127:D139" si="64">SQRT((2*B127*B$5)/B$4)</f>
        <v>158.10249839898168</v>
      </c>
      <c r="E127" s="12">
        <f t="shared" si="62"/>
        <v>12.161730646075512</v>
      </c>
      <c r="F127">
        <v>908</v>
      </c>
      <c r="G127" s="6">
        <f t="shared" ref="G127:G138" si="65">D$2*F127*H127*1.3</f>
        <v>35.467040464373916</v>
      </c>
      <c r="H127" s="35">
        <f t="shared" ref="H127:H138" si="66">D127/B$163</f>
        <v>1.7884898008934579E-2</v>
      </c>
      <c r="I127" s="11">
        <f t="shared" si="63"/>
        <v>431.34059294117651</v>
      </c>
      <c r="J127" t="s">
        <v>103</v>
      </c>
    </row>
    <row r="128" spans="1:10" x14ac:dyDescent="0.2">
      <c r="A128" s="4" t="s">
        <v>89</v>
      </c>
      <c r="B128" s="10">
        <v>4381.5</v>
      </c>
      <c r="C128" s="6">
        <f t="shared" si="61"/>
        <v>12.004109589041096</v>
      </c>
      <c r="D128" s="6">
        <f t="shared" si="64"/>
        <v>238.66189473814205</v>
      </c>
      <c r="E128" s="12">
        <f t="shared" si="62"/>
        <v>18.35860728754939</v>
      </c>
      <c r="F128">
        <v>0</v>
      </c>
      <c r="G128" s="6">
        <f t="shared" si="65"/>
        <v>0</v>
      </c>
      <c r="H128" s="35">
        <f t="shared" si="66"/>
        <v>2.6997951893454983E-2</v>
      </c>
      <c r="I128" s="11">
        <f t="shared" si="63"/>
        <v>0</v>
      </c>
      <c r="J128" t="s">
        <v>103</v>
      </c>
    </row>
    <row r="129" spans="1:10" x14ac:dyDescent="0.2">
      <c r="A129" s="4" t="s">
        <v>90</v>
      </c>
      <c r="B129" s="10">
        <v>4785.8999999999996</v>
      </c>
      <c r="C129" s="6">
        <f t="shared" si="61"/>
        <v>13.112054794520548</v>
      </c>
      <c r="D129" s="6">
        <f t="shared" si="64"/>
        <v>249.43275646955431</v>
      </c>
      <c r="E129" s="12">
        <f t="shared" si="62"/>
        <v>19.187135113042643</v>
      </c>
      <c r="F129">
        <v>637</v>
      </c>
      <c r="G129" s="6">
        <f t="shared" si="65"/>
        <v>39.254846862273261</v>
      </c>
      <c r="H129" s="35">
        <f t="shared" si="66"/>
        <v>2.8216375166239174E-2</v>
      </c>
      <c r="I129" s="11">
        <f t="shared" si="63"/>
        <v>753.18805058823511</v>
      </c>
      <c r="J129" t="s">
        <v>103</v>
      </c>
    </row>
    <row r="130" spans="1:10" x14ac:dyDescent="0.2">
      <c r="A130" s="4" t="s">
        <v>91</v>
      </c>
      <c r="B130" s="10">
        <v>144.5</v>
      </c>
      <c r="C130" s="6">
        <f t="shared" si="61"/>
        <v>0.39589041095890409</v>
      </c>
      <c r="D130" s="6">
        <f t="shared" si="64"/>
        <v>43.341665865538673</v>
      </c>
      <c r="E130" s="12">
        <f t="shared" si="62"/>
        <v>3.3339742973491284</v>
      </c>
      <c r="F130">
        <v>1320</v>
      </c>
      <c r="G130" s="6">
        <f t="shared" si="65"/>
        <v>14.134482091679201</v>
      </c>
      <c r="H130" s="35">
        <f t="shared" si="66"/>
        <v>4.9029033784546011E-3</v>
      </c>
      <c r="I130" s="11">
        <f t="shared" si="63"/>
        <v>47.124000000000002</v>
      </c>
      <c r="J130" t="s">
        <v>103</v>
      </c>
    </row>
    <row r="131" spans="1:10" x14ac:dyDescent="0.2">
      <c r="A131" s="4" t="s">
        <v>92</v>
      </c>
      <c r="B131" s="10">
        <v>5341.5</v>
      </c>
      <c r="C131" s="6">
        <f t="shared" si="61"/>
        <v>14.634246575342466</v>
      </c>
      <c r="D131" s="6">
        <f t="shared" si="64"/>
        <v>263.51375675664451</v>
      </c>
      <c r="E131" s="12">
        <f t="shared" si="62"/>
        <v>20.270288981280345</v>
      </c>
      <c r="F131">
        <v>678</v>
      </c>
      <c r="G131" s="6">
        <f t="shared" si="65"/>
        <v>44.140104337660048</v>
      </c>
      <c r="H131" s="35">
        <f t="shared" si="66"/>
        <v>2.9809248501882862E-2</v>
      </c>
      <c r="I131" s="11">
        <f t="shared" si="63"/>
        <v>894.73267058823524</v>
      </c>
      <c r="J131" t="s">
        <v>103</v>
      </c>
    </row>
    <row r="132" spans="1:10" x14ac:dyDescent="0.2">
      <c r="A132" s="4" t="s">
        <v>93</v>
      </c>
      <c r="B132" s="10">
        <v>1391.9</v>
      </c>
      <c r="C132" s="6">
        <f t="shared" si="61"/>
        <v>3.813424657534247</v>
      </c>
      <c r="D132" s="6">
        <f t="shared" si="64"/>
        <v>134.51654173372137</v>
      </c>
      <c r="E132" s="12">
        <f t="shared" si="62"/>
        <v>10.347426287209336</v>
      </c>
      <c r="F132">
        <v>564</v>
      </c>
      <c r="G132" s="6">
        <f t="shared" si="65"/>
        <v>18.743693179931718</v>
      </c>
      <c r="H132" s="35">
        <f t="shared" si="66"/>
        <v>1.5216803363543141E-2</v>
      </c>
      <c r="I132" s="11">
        <f t="shared" si="63"/>
        <v>193.94898352941181</v>
      </c>
      <c r="J132" t="s">
        <v>103</v>
      </c>
    </row>
    <row r="133" spans="1:10" x14ac:dyDescent="0.2">
      <c r="A133" s="4" t="s">
        <v>94</v>
      </c>
      <c r="B133" s="10">
        <v>591.9</v>
      </c>
      <c r="C133" s="6">
        <f t="shared" si="61"/>
        <v>1.6216438356164382</v>
      </c>
      <c r="D133" s="6">
        <f t="shared" si="64"/>
        <v>87.719439122693899</v>
      </c>
      <c r="E133" s="12">
        <f t="shared" si="62"/>
        <v>6.7476491632841453</v>
      </c>
      <c r="F133">
        <v>1375</v>
      </c>
      <c r="G133" s="6">
        <f t="shared" si="65"/>
        <v>29.798809466679842</v>
      </c>
      <c r="H133" s="35">
        <f t="shared" si="66"/>
        <v>9.9230134754178627E-3</v>
      </c>
      <c r="I133" s="11">
        <f t="shared" si="63"/>
        <v>201.0719117647059</v>
      </c>
      <c r="J133" t="s">
        <v>103</v>
      </c>
    </row>
    <row r="134" spans="1:10" x14ac:dyDescent="0.2">
      <c r="A134" s="4" t="s">
        <v>95</v>
      </c>
      <c r="B134" s="10">
        <v>362.1</v>
      </c>
      <c r="C134" s="6">
        <f t="shared" si="61"/>
        <v>0.99205479452054801</v>
      </c>
      <c r="D134" s="6">
        <f t="shared" si="64"/>
        <v>68.609766068687335</v>
      </c>
      <c r="E134" s="12">
        <f t="shared" si="62"/>
        <v>5.2776743129759494</v>
      </c>
      <c r="F134">
        <v>795</v>
      </c>
      <c r="G134" s="6">
        <f t="shared" si="65"/>
        <v>13.475765229608646</v>
      </c>
      <c r="H134" s="35">
        <f t="shared" si="66"/>
        <v>7.7612857543763953E-3</v>
      </c>
      <c r="I134" s="11">
        <f t="shared" si="63"/>
        <v>71.120699999999999</v>
      </c>
      <c r="J134" t="s">
        <v>103</v>
      </c>
    </row>
    <row r="135" spans="1:10" x14ac:dyDescent="0.2">
      <c r="A135" s="4" t="s">
        <v>96</v>
      </c>
      <c r="B135" s="10">
        <v>1650.2</v>
      </c>
      <c r="C135" s="6">
        <f t="shared" si="61"/>
        <v>4.5210958904109591</v>
      </c>
      <c r="D135" s="6">
        <f t="shared" si="64"/>
        <v>146.46706114345301</v>
      </c>
      <c r="E135" s="12">
        <f t="shared" si="62"/>
        <v>11.266697011034847</v>
      </c>
      <c r="F135">
        <v>603</v>
      </c>
      <c r="G135" s="6">
        <f t="shared" si="65"/>
        <v>21.820145826582888</v>
      </c>
      <c r="H135" s="35">
        <f t="shared" si="66"/>
        <v>1.6568672075051246E-2</v>
      </c>
      <c r="I135" s="11">
        <f t="shared" si="63"/>
        <v>245.8409717647059</v>
      </c>
      <c r="J135" t="s">
        <v>103</v>
      </c>
    </row>
    <row r="136" spans="1:10" x14ac:dyDescent="0.2">
      <c r="A136" s="4" t="s">
        <v>97</v>
      </c>
      <c r="B136" s="10">
        <v>1288.0999999999999</v>
      </c>
      <c r="C136" s="6">
        <f t="shared" si="61"/>
        <v>3.5290410958904106</v>
      </c>
      <c r="D136" s="6">
        <f t="shared" si="64"/>
        <v>129.40363209740289</v>
      </c>
      <c r="E136" s="12">
        <f t="shared" si="62"/>
        <v>9.9541255459540672</v>
      </c>
      <c r="F136">
        <v>345</v>
      </c>
      <c r="G136" s="6">
        <f t="shared" si="65"/>
        <v>11.029756641713931</v>
      </c>
      <c r="H136" s="35">
        <f t="shared" si="66"/>
        <v>1.4638419920520689E-2</v>
      </c>
      <c r="I136" s="11">
        <f t="shared" si="63"/>
        <v>109.79158235294118</v>
      </c>
      <c r="J136" t="s">
        <v>103</v>
      </c>
    </row>
    <row r="137" spans="1:10" x14ac:dyDescent="0.2">
      <c r="A137" s="4" t="s">
        <v>98</v>
      </c>
      <c r="B137" s="10">
        <v>1438.5</v>
      </c>
      <c r="C137" s="6">
        <f t="shared" si="61"/>
        <v>3.941095890410959</v>
      </c>
      <c r="D137" s="6">
        <f t="shared" si="64"/>
        <v>136.74977148061345</v>
      </c>
      <c r="E137" s="12">
        <f t="shared" si="62"/>
        <v>10.519213190816419</v>
      </c>
      <c r="F137">
        <v>2032</v>
      </c>
      <c r="G137" s="6">
        <f t="shared" si="65"/>
        <v>68.651602924949856</v>
      </c>
      <c r="H137" s="35">
        <f t="shared" si="66"/>
        <v>1.5469431162965322E-2</v>
      </c>
      <c r="I137" s="11">
        <f t="shared" si="63"/>
        <v>722.16084705882361</v>
      </c>
      <c r="J137" t="s">
        <v>103</v>
      </c>
    </row>
    <row r="138" spans="1:10" x14ac:dyDescent="0.2">
      <c r="A138" s="4" t="s">
        <v>99</v>
      </c>
      <c r="B138" s="10">
        <v>8808.2999999999993</v>
      </c>
      <c r="C138" s="6">
        <f t="shared" si="61"/>
        <v>24.132328767123287</v>
      </c>
      <c r="D138" s="6">
        <f t="shared" si="64"/>
        <v>338.3901594313877</v>
      </c>
      <c r="E138" s="12">
        <f t="shared" si="62"/>
        <v>26.030012263952901</v>
      </c>
      <c r="F138">
        <v>720</v>
      </c>
      <c r="G138" s="6">
        <f t="shared" si="65"/>
        <v>60.193637771795082</v>
      </c>
      <c r="H138" s="35">
        <f t="shared" si="66"/>
        <v>3.8279429799930736E-2</v>
      </c>
      <c r="I138" s="11">
        <f t="shared" si="63"/>
        <v>1566.8411294117645</v>
      </c>
      <c r="J138" t="s">
        <v>103</v>
      </c>
    </row>
    <row r="139" spans="1:10" x14ac:dyDescent="0.2">
      <c r="B139" s="6">
        <f>SUM(B126:B138)</f>
        <v>32656.5</v>
      </c>
      <c r="C139" s="12">
        <f>SUM(C126:C138)</f>
        <v>89.469863013698642</v>
      </c>
      <c r="D139" s="6">
        <f t="shared" si="64"/>
        <v>651.56312050330166</v>
      </c>
      <c r="E139" s="12">
        <f t="shared" si="62"/>
        <v>50.120240038715515</v>
      </c>
      <c r="I139" s="11">
        <f>SUM(I126:I138)</f>
        <v>5324.0154635294111</v>
      </c>
    </row>
    <row r="140" spans="1:10" x14ac:dyDescent="0.2">
      <c r="A140" s="7"/>
      <c r="B140" s="17"/>
      <c r="C140" s="12"/>
    </row>
    <row r="141" spans="1:10" ht="20" x14ac:dyDescent="0.2">
      <c r="A141" s="4" t="s">
        <v>133</v>
      </c>
      <c r="B141" s="38" t="s">
        <v>115</v>
      </c>
      <c r="C141" s="38" t="s">
        <v>49</v>
      </c>
      <c r="D141" s="38" t="s">
        <v>19</v>
      </c>
      <c r="E141" s="38" t="s">
        <v>134</v>
      </c>
      <c r="F141" s="38" t="s">
        <v>50</v>
      </c>
      <c r="G141" s="38" t="s">
        <v>116</v>
      </c>
      <c r="H141" s="38" t="s">
        <v>118</v>
      </c>
      <c r="I141" s="38" t="s">
        <v>145</v>
      </c>
    </row>
    <row r="142" spans="1:10" x14ac:dyDescent="0.2">
      <c r="A142" s="4" t="s">
        <v>132</v>
      </c>
      <c r="B142" s="17">
        <f>1000*4367.6</f>
        <v>4367600</v>
      </c>
      <c r="C142" s="12">
        <f>B142/365</f>
        <v>11966.027397260274</v>
      </c>
      <c r="D142" s="6">
        <f>SQRT((2*B142*B$4)/B$3)</f>
        <v>3115.4097287159161</v>
      </c>
      <c r="E142" s="6">
        <f>B142/D142</f>
        <v>1401.9343779221622</v>
      </c>
      <c r="F142">
        <v>1643</v>
      </c>
      <c r="G142" s="6">
        <f>D$3*F142*H142*1.3</f>
        <v>195.71187175189195</v>
      </c>
      <c r="H142" s="35">
        <f>D142/B$163</f>
        <v>0.35242191501311271</v>
      </c>
      <c r="I142" s="11">
        <f>E142*G142</f>
        <v>274375.20117647061</v>
      </c>
      <c r="J142" t="s">
        <v>100</v>
      </c>
    </row>
    <row r="143" spans="1:10" x14ac:dyDescent="0.2">
      <c r="A143" s="4" t="s">
        <v>85</v>
      </c>
      <c r="B143" s="17">
        <f>1000*56612.1</f>
        <v>56612100</v>
      </c>
      <c r="C143" s="12">
        <f>B143/365</f>
        <v>155101.64383561644</v>
      </c>
      <c r="D143" s="6">
        <f t="shared" ref="D143" si="67">SQRT((2*B143*B$4)/B$3)</f>
        <v>11216.267947346241</v>
      </c>
      <c r="E143" s="6">
        <f>B143/D143</f>
        <v>5047.3205763058086</v>
      </c>
      <c r="F143">
        <v>0</v>
      </c>
      <c r="G143" s="6">
        <f>D3*F143*H143*1.3</f>
        <v>0</v>
      </c>
      <c r="H143" s="35">
        <f>D143/B165</f>
        <v>1.2688085913287603</v>
      </c>
      <c r="I143" s="11">
        <f>E143*G143</f>
        <v>0</v>
      </c>
    </row>
    <row r="144" spans="1:10" x14ac:dyDescent="0.2">
      <c r="B144" s="27">
        <f>SUM(B142:B143)</f>
        <v>60979700</v>
      </c>
      <c r="C144" s="12">
        <f>SUM(C142:C143)</f>
        <v>167067.67123287672</v>
      </c>
      <c r="D144" s="6"/>
      <c r="I144" s="11">
        <f>SUM(I142:I143)</f>
        <v>274375.20117647061</v>
      </c>
    </row>
    <row r="147" spans="1:9" ht="21" x14ac:dyDescent="0.25">
      <c r="A147" s="41" t="s">
        <v>148</v>
      </c>
      <c r="I147" s="42" t="s">
        <v>149</v>
      </c>
    </row>
    <row r="148" spans="1:9" x14ac:dyDescent="0.2">
      <c r="A148" s="4" t="s">
        <v>100</v>
      </c>
      <c r="B148" s="12">
        <f>B144+B139+B124+B116+B108+B91</f>
        <v>176645856.5</v>
      </c>
      <c r="C148" s="12">
        <f>B148/365</f>
        <v>483961.25068493153</v>
      </c>
      <c r="I148" s="12">
        <f>I91+I108+I116+I124+I139+I144</f>
        <v>15294368.646487314</v>
      </c>
    </row>
    <row r="154" spans="1:9" ht="21" x14ac:dyDescent="0.25">
      <c r="A154" s="21" t="s">
        <v>114</v>
      </c>
      <c r="B154" s="39" t="s">
        <v>121</v>
      </c>
      <c r="C154" s="39" t="s">
        <v>122</v>
      </c>
      <c r="D154" s="39" t="s">
        <v>123</v>
      </c>
    </row>
    <row r="155" spans="1:9" x14ac:dyDescent="0.2">
      <c r="A155" t="s">
        <v>120</v>
      </c>
      <c r="B155">
        <v>3.54</v>
      </c>
      <c r="C155">
        <v>6.1</v>
      </c>
      <c r="D155">
        <v>2.2999999999999998</v>
      </c>
    </row>
    <row r="156" spans="1:9" x14ac:dyDescent="0.2">
      <c r="A156" t="s">
        <v>124</v>
      </c>
      <c r="B156">
        <v>40</v>
      </c>
      <c r="C156">
        <v>40</v>
      </c>
      <c r="D156">
        <v>48</v>
      </c>
    </row>
    <row r="157" spans="1:9" x14ac:dyDescent="0.2">
      <c r="A157" t="s">
        <v>29</v>
      </c>
      <c r="B157">
        <v>9.1</v>
      </c>
      <c r="C157">
        <v>19.5</v>
      </c>
      <c r="D157">
        <v>18.5</v>
      </c>
    </row>
    <row r="160" spans="1:9" x14ac:dyDescent="0.2">
      <c r="B160" s="39" t="s">
        <v>137</v>
      </c>
      <c r="C160" s="39" t="s">
        <v>27</v>
      </c>
      <c r="D160" s="39" t="s">
        <v>29</v>
      </c>
    </row>
    <row r="161" spans="1:4" x14ac:dyDescent="0.2">
      <c r="A161" t="s">
        <v>27</v>
      </c>
      <c r="B161">
        <v>26</v>
      </c>
      <c r="C161" t="s">
        <v>138</v>
      </c>
      <c r="D161">
        <v>10</v>
      </c>
    </row>
    <row r="162" spans="1:4" x14ac:dyDescent="0.2">
      <c r="A162" t="s">
        <v>29</v>
      </c>
      <c r="B162">
        <v>260</v>
      </c>
      <c r="C162" t="s">
        <v>139</v>
      </c>
      <c r="D162">
        <v>0</v>
      </c>
    </row>
    <row r="163" spans="1:4" x14ac:dyDescent="0.2">
      <c r="A163" t="s">
        <v>135</v>
      </c>
      <c r="B163">
        <f>D163*B162</f>
        <v>8840</v>
      </c>
      <c r="C163">
        <v>340</v>
      </c>
      <c r="D163">
        <v>34</v>
      </c>
    </row>
    <row r="165" spans="1:4" x14ac:dyDescent="0.2">
      <c r="A165" t="s">
        <v>140</v>
      </c>
      <c r="B165">
        <v>8840</v>
      </c>
    </row>
  </sheetData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75" workbookViewId="0">
      <selection activeCell="E34" sqref="C6:E34"/>
    </sheetView>
  </sheetViews>
  <sheetFormatPr baseColWidth="10" defaultRowHeight="16" x14ac:dyDescent="0.2"/>
  <cols>
    <col min="1" max="1" width="17.33203125" customWidth="1"/>
    <col min="2" max="2" width="6.1640625" hidden="1" customWidth="1"/>
    <col min="3" max="3" width="20" customWidth="1"/>
    <col min="4" max="4" width="18.6640625" customWidth="1"/>
    <col min="10" max="10" width="27.5" customWidth="1"/>
    <col min="11" max="11" width="15.33203125" customWidth="1"/>
    <col min="13" max="13" width="15" customWidth="1"/>
  </cols>
  <sheetData>
    <row r="1" spans="1:13" x14ac:dyDescent="0.2">
      <c r="A1" t="s">
        <v>23</v>
      </c>
      <c r="C1">
        <v>450</v>
      </c>
    </row>
    <row r="2" spans="1:13" x14ac:dyDescent="0.2">
      <c r="A2" t="s">
        <v>21</v>
      </c>
      <c r="C2">
        <v>100</v>
      </c>
    </row>
    <row r="3" spans="1:13" x14ac:dyDescent="0.2">
      <c r="A3" t="s">
        <v>24</v>
      </c>
      <c r="C3">
        <v>90</v>
      </c>
      <c r="D3" t="s">
        <v>31</v>
      </c>
      <c r="E3">
        <v>1.86</v>
      </c>
    </row>
    <row r="4" spans="1:13" x14ac:dyDescent="0.2">
      <c r="A4" t="s">
        <v>22</v>
      </c>
      <c r="C4">
        <v>650</v>
      </c>
      <c r="D4" t="s">
        <v>26</v>
      </c>
      <c r="E4">
        <v>0.24</v>
      </c>
    </row>
    <row r="5" spans="1:13" x14ac:dyDescent="0.2">
      <c r="A5" t="s">
        <v>20</v>
      </c>
      <c r="C5" s="16">
        <v>0.15</v>
      </c>
    </row>
    <row r="6" spans="1:13" ht="80" x14ac:dyDescent="0.2">
      <c r="C6" t="s">
        <v>38</v>
      </c>
      <c r="D6" t="s">
        <v>14</v>
      </c>
      <c r="E6" s="13" t="s">
        <v>15</v>
      </c>
      <c r="F6" s="13" t="s">
        <v>16</v>
      </c>
      <c r="G6" s="13" t="s">
        <v>17</v>
      </c>
      <c r="H6" s="13" t="s">
        <v>18</v>
      </c>
      <c r="I6" s="13" t="s">
        <v>19</v>
      </c>
      <c r="J6" s="13" t="s">
        <v>32</v>
      </c>
      <c r="K6" s="13" t="s">
        <v>30</v>
      </c>
      <c r="L6" s="13" t="s">
        <v>33</v>
      </c>
      <c r="M6" s="13" t="s">
        <v>37</v>
      </c>
    </row>
    <row r="7" spans="1:13" x14ac:dyDescent="0.2">
      <c r="C7" s="4" t="s">
        <v>0</v>
      </c>
      <c r="D7" s="12">
        <v>50646.58</v>
      </c>
      <c r="E7" s="6">
        <f>D7/356</f>
        <v>142.26567415730338</v>
      </c>
      <c r="F7" s="12">
        <f>E7*C$5</f>
        <v>21.339851123595505</v>
      </c>
      <c r="G7" s="9">
        <v>0</v>
      </c>
      <c r="H7">
        <v>1</v>
      </c>
      <c r="I7" s="17">
        <f>SQRT((2*D7*C$2)/C$3)</f>
        <v>335.48167692968798</v>
      </c>
      <c r="J7">
        <v>1</v>
      </c>
      <c r="K7" s="12">
        <v>1</v>
      </c>
      <c r="L7" t="s">
        <v>34</v>
      </c>
    </row>
    <row r="8" spans="1:13" x14ac:dyDescent="0.2">
      <c r="C8" s="4" t="s">
        <v>1</v>
      </c>
      <c r="D8" s="12">
        <v>3070</v>
      </c>
      <c r="E8" s="6">
        <f t="shared" ref="E8:E20" si="0">D8/365</f>
        <v>8.4109589041095898</v>
      </c>
      <c r="F8" s="15">
        <f t="shared" ref="F8:F20" si="1">E8*C$5</f>
        <v>1.2616438356164383</v>
      </c>
      <c r="G8">
        <v>1223</v>
      </c>
      <c r="H8" s="6">
        <f>G8/C4+1</f>
        <v>2.8815384615384616</v>
      </c>
      <c r="I8" s="6">
        <f t="shared" ref="I8:I20" si="2">SQRT((2*D8*C$2)/C$3)</f>
        <v>82.596744622425788</v>
      </c>
      <c r="J8">
        <f>G8*E$4</f>
        <v>293.52</v>
      </c>
      <c r="K8" s="18">
        <f>G8*E$3</f>
        <v>2274.7800000000002</v>
      </c>
      <c r="L8" t="s">
        <v>34</v>
      </c>
      <c r="M8" s="11">
        <f>J8+K8</f>
        <v>2568.3000000000002</v>
      </c>
    </row>
    <row r="9" spans="1:13" x14ac:dyDescent="0.2">
      <c r="C9" s="4" t="s">
        <v>2</v>
      </c>
      <c r="D9" s="12">
        <v>2625.6400000000003</v>
      </c>
      <c r="E9" s="12">
        <f t="shared" si="0"/>
        <v>7.1935342465753438</v>
      </c>
      <c r="F9" s="12">
        <f t="shared" si="1"/>
        <v>1.0790301369863016</v>
      </c>
      <c r="G9">
        <v>2343</v>
      </c>
      <c r="H9" s="6">
        <f>G9/C4+1</f>
        <v>4.6046153846153848</v>
      </c>
      <c r="I9" s="6">
        <f t="shared" si="2"/>
        <v>76.38557164514485</v>
      </c>
      <c r="J9">
        <f t="shared" ref="J9:J20" si="3">G9*E$4</f>
        <v>562.31999999999994</v>
      </c>
      <c r="K9" s="18">
        <f t="shared" ref="K9:K20" si="4">G9*E$3</f>
        <v>4357.9800000000005</v>
      </c>
      <c r="L9" t="s">
        <v>34</v>
      </c>
      <c r="M9" s="11">
        <f t="shared" ref="M9:M20" si="5">J9+K9</f>
        <v>4920.3</v>
      </c>
    </row>
    <row r="10" spans="1:13" x14ac:dyDescent="0.2">
      <c r="C10" s="4" t="s">
        <v>3</v>
      </c>
      <c r="D10" s="12">
        <v>756.46</v>
      </c>
      <c r="E10" s="12">
        <f t="shared" si="0"/>
        <v>2.0724931506849318</v>
      </c>
      <c r="F10" s="12">
        <f t="shared" si="1"/>
        <v>0.31087397260273975</v>
      </c>
      <c r="G10">
        <v>3444</v>
      </c>
      <c r="H10" s="6">
        <f>G10/C4+1</f>
        <v>6.2984615384615381</v>
      </c>
      <c r="I10" s="6">
        <f t="shared" si="2"/>
        <v>41.00027100181439</v>
      </c>
      <c r="J10">
        <f t="shared" si="3"/>
        <v>826.56</v>
      </c>
      <c r="K10" s="18">
        <f t="shared" si="4"/>
        <v>6405.84</v>
      </c>
      <c r="L10" t="s">
        <v>34</v>
      </c>
      <c r="M10" s="11">
        <f t="shared" si="5"/>
        <v>7232.4</v>
      </c>
    </row>
    <row r="11" spans="1:13" x14ac:dyDescent="0.2">
      <c r="C11" s="4" t="s">
        <v>4</v>
      </c>
      <c r="D11" s="12">
        <v>14793.300000000001</v>
      </c>
      <c r="E11" s="12">
        <f t="shared" si="0"/>
        <v>40.529589041095896</v>
      </c>
      <c r="F11" s="14">
        <f t="shared" si="1"/>
        <v>6.0794383561643839</v>
      </c>
      <c r="G11">
        <v>2172</v>
      </c>
      <c r="H11" s="6">
        <f>G11/C4+1</f>
        <v>4.3415384615384616</v>
      </c>
      <c r="I11" s="6">
        <f t="shared" si="2"/>
        <v>181.31188598655081</v>
      </c>
      <c r="J11">
        <f t="shared" si="3"/>
        <v>521.28</v>
      </c>
      <c r="K11" s="18">
        <f t="shared" si="4"/>
        <v>4039.92</v>
      </c>
      <c r="L11" t="s">
        <v>34</v>
      </c>
      <c r="M11" s="11">
        <f t="shared" si="5"/>
        <v>4561.2</v>
      </c>
    </row>
    <row r="12" spans="1:13" x14ac:dyDescent="0.2">
      <c r="C12" s="4" t="s">
        <v>5</v>
      </c>
      <c r="D12" s="12">
        <v>1964.84</v>
      </c>
      <c r="E12" s="12">
        <f t="shared" si="0"/>
        <v>5.3831232876712329</v>
      </c>
      <c r="F12" s="12">
        <f t="shared" si="1"/>
        <v>0.80746849315068492</v>
      </c>
      <c r="G12">
        <v>2699</v>
      </c>
      <c r="H12" s="6">
        <f>G12/C4+1</f>
        <v>5.1523076923076925</v>
      </c>
      <c r="I12" s="6">
        <f t="shared" si="2"/>
        <v>66.078068306444237</v>
      </c>
      <c r="J12">
        <f t="shared" si="3"/>
        <v>647.76</v>
      </c>
      <c r="K12" s="18">
        <f t="shared" si="4"/>
        <v>5020.1400000000003</v>
      </c>
      <c r="L12" t="s">
        <v>34</v>
      </c>
      <c r="M12" s="11">
        <f t="shared" si="5"/>
        <v>5667.9000000000005</v>
      </c>
    </row>
    <row r="13" spans="1:13" x14ac:dyDescent="0.2">
      <c r="C13" s="4" t="s">
        <v>6</v>
      </c>
      <c r="D13" s="12">
        <v>631.98</v>
      </c>
      <c r="E13" s="14">
        <f t="shared" si="0"/>
        <v>1.7314520547945207</v>
      </c>
      <c r="F13" s="12">
        <f t="shared" si="1"/>
        <v>0.25971780821917811</v>
      </c>
      <c r="G13">
        <v>2179</v>
      </c>
      <c r="H13" s="6">
        <f>G13/C4+1</f>
        <v>4.3523076923076918</v>
      </c>
      <c r="I13" s="6">
        <f t="shared" si="2"/>
        <v>37.475325215400069</v>
      </c>
      <c r="J13">
        <f t="shared" si="3"/>
        <v>522.96</v>
      </c>
      <c r="K13" s="18">
        <f t="shared" si="4"/>
        <v>4052.94</v>
      </c>
      <c r="L13" t="s">
        <v>34</v>
      </c>
      <c r="M13" s="11">
        <f t="shared" si="5"/>
        <v>4575.8999999999996</v>
      </c>
    </row>
    <row r="14" spans="1:13" x14ac:dyDescent="0.2">
      <c r="C14" s="4" t="s">
        <v>7</v>
      </c>
      <c r="D14" s="12">
        <v>854.50000000000011</v>
      </c>
      <c r="E14" s="12">
        <f t="shared" si="0"/>
        <v>2.3410958904109593</v>
      </c>
      <c r="F14" s="12">
        <f t="shared" si="1"/>
        <v>0.35116438356164387</v>
      </c>
      <c r="G14">
        <v>2732</v>
      </c>
      <c r="H14" s="6">
        <f>G14/C4+1</f>
        <v>5.2030769230769227</v>
      </c>
      <c r="I14" s="6">
        <f t="shared" si="2"/>
        <v>43.576242252962672</v>
      </c>
      <c r="J14">
        <f t="shared" si="3"/>
        <v>655.68</v>
      </c>
      <c r="K14" s="18">
        <f t="shared" si="4"/>
        <v>5081.5200000000004</v>
      </c>
      <c r="L14" t="s">
        <v>34</v>
      </c>
      <c r="M14" s="11">
        <f t="shared" si="5"/>
        <v>5737.2000000000007</v>
      </c>
    </row>
    <row r="15" spans="1:13" x14ac:dyDescent="0.2">
      <c r="C15" s="4" t="s">
        <v>8</v>
      </c>
      <c r="D15" s="12">
        <v>2367.58</v>
      </c>
      <c r="E15" s="12">
        <f t="shared" si="0"/>
        <v>6.4865205479452053</v>
      </c>
      <c r="F15" s="12">
        <f t="shared" si="1"/>
        <v>0.97297808219178072</v>
      </c>
      <c r="G15">
        <v>1483</v>
      </c>
      <c r="H15" s="6">
        <f>G15/C4+1</f>
        <v>3.2815384615384615</v>
      </c>
      <c r="I15" s="6">
        <f t="shared" si="2"/>
        <v>72.534742633367699</v>
      </c>
      <c r="J15">
        <f t="shared" si="3"/>
        <v>355.91999999999996</v>
      </c>
      <c r="K15" s="18">
        <f t="shared" si="4"/>
        <v>2758.38</v>
      </c>
      <c r="L15" t="s">
        <v>34</v>
      </c>
      <c r="M15" s="11">
        <f t="shared" si="5"/>
        <v>3114.3</v>
      </c>
    </row>
    <row r="16" spans="1:13" x14ac:dyDescent="0.2">
      <c r="C16" s="4" t="s">
        <v>9</v>
      </c>
      <c r="D16" s="12">
        <v>1575.2200000000003</v>
      </c>
      <c r="E16" s="12">
        <f t="shared" si="0"/>
        <v>4.3156712328767126</v>
      </c>
      <c r="F16" s="12">
        <f t="shared" si="1"/>
        <v>0.64735068493150683</v>
      </c>
      <c r="G16">
        <v>1437</v>
      </c>
      <c r="H16" s="6">
        <f>G16/C4+1</f>
        <v>3.2107692307692308</v>
      </c>
      <c r="I16" s="6">
        <f t="shared" si="2"/>
        <v>59.164929551964221</v>
      </c>
      <c r="J16">
        <f t="shared" si="3"/>
        <v>344.88</v>
      </c>
      <c r="K16" s="18">
        <f t="shared" si="4"/>
        <v>2672.82</v>
      </c>
      <c r="L16" t="s">
        <v>34</v>
      </c>
      <c r="M16" s="11">
        <f t="shared" si="5"/>
        <v>3017.7000000000003</v>
      </c>
    </row>
    <row r="17" spans="3:13" x14ac:dyDescent="0.2">
      <c r="C17" s="4" t="s">
        <v>10</v>
      </c>
      <c r="D17" s="12">
        <v>2020.3800000000003</v>
      </c>
      <c r="E17" s="12">
        <f t="shared" si="0"/>
        <v>5.5352876712328776</v>
      </c>
      <c r="F17" s="12">
        <f t="shared" si="1"/>
        <v>0.83029315068493159</v>
      </c>
      <c r="G17">
        <v>1664</v>
      </c>
      <c r="H17" s="6">
        <f>G17/C4+1</f>
        <v>3.56</v>
      </c>
      <c r="I17" s="6">
        <f t="shared" si="2"/>
        <v>67.005472413328548</v>
      </c>
      <c r="J17">
        <f t="shared" si="3"/>
        <v>399.36</v>
      </c>
      <c r="K17" s="18">
        <f t="shared" si="4"/>
        <v>3095.04</v>
      </c>
      <c r="L17" t="s">
        <v>34</v>
      </c>
      <c r="M17" s="11">
        <f t="shared" si="5"/>
        <v>3494.4</v>
      </c>
    </row>
    <row r="18" spans="3:13" x14ac:dyDescent="0.2">
      <c r="C18" s="4" t="s">
        <v>11</v>
      </c>
      <c r="D18" s="12">
        <v>2181</v>
      </c>
      <c r="E18" s="12">
        <f t="shared" si="0"/>
        <v>5.9753424657534246</v>
      </c>
      <c r="F18" s="12">
        <f t="shared" si="1"/>
        <v>0.89630136986301367</v>
      </c>
      <c r="G18">
        <v>1543</v>
      </c>
      <c r="H18" s="6">
        <f>G18/C4+1</f>
        <v>3.3738461538461539</v>
      </c>
      <c r="I18" s="6">
        <f t="shared" si="2"/>
        <v>69.618005333869391</v>
      </c>
      <c r="J18">
        <f t="shared" si="3"/>
        <v>370.32</v>
      </c>
      <c r="K18" s="18">
        <f t="shared" si="4"/>
        <v>2869.98</v>
      </c>
      <c r="L18" t="s">
        <v>34</v>
      </c>
      <c r="M18" s="11">
        <f t="shared" si="5"/>
        <v>3240.3</v>
      </c>
    </row>
    <row r="19" spans="3:13" x14ac:dyDescent="0.2">
      <c r="C19" s="4" t="s">
        <v>12</v>
      </c>
      <c r="D19" s="12">
        <v>3044.7400000000002</v>
      </c>
      <c r="E19" s="6">
        <f t="shared" si="0"/>
        <v>8.3417534246575347</v>
      </c>
      <c r="F19" s="12">
        <f t="shared" si="1"/>
        <v>1.2512630136986302</v>
      </c>
      <c r="G19">
        <v>5252</v>
      </c>
      <c r="H19">
        <f>G19/C4+1</f>
        <v>9.08</v>
      </c>
      <c r="I19" s="6">
        <f t="shared" si="2"/>
        <v>82.256239209490289</v>
      </c>
      <c r="J19">
        <f t="shared" si="3"/>
        <v>1260.48</v>
      </c>
      <c r="K19" s="18">
        <f t="shared" si="4"/>
        <v>9768.7200000000012</v>
      </c>
      <c r="L19" t="s">
        <v>34</v>
      </c>
      <c r="M19" s="11">
        <f t="shared" si="5"/>
        <v>11029.2</v>
      </c>
    </row>
    <row r="20" spans="3:13" x14ac:dyDescent="0.2">
      <c r="C20" s="4" t="s">
        <v>13</v>
      </c>
      <c r="D20" s="12">
        <v>2772.38</v>
      </c>
      <c r="E20" s="12">
        <f t="shared" si="0"/>
        <v>7.5955616438356168</v>
      </c>
      <c r="F20" s="12">
        <f t="shared" si="1"/>
        <v>1.1393342465753424</v>
      </c>
      <c r="G20">
        <v>5390</v>
      </c>
      <c r="H20" s="6">
        <f>G20/C4+1</f>
        <v>9.292307692307693</v>
      </c>
      <c r="I20" s="6">
        <f t="shared" si="2"/>
        <v>78.491046906283813</v>
      </c>
      <c r="J20">
        <f t="shared" si="3"/>
        <v>1293.5999999999999</v>
      </c>
      <c r="K20" s="18">
        <f t="shared" si="4"/>
        <v>10025.4</v>
      </c>
      <c r="L20" t="s">
        <v>34</v>
      </c>
      <c r="M20" s="11">
        <f t="shared" si="5"/>
        <v>11319</v>
      </c>
    </row>
    <row r="21" spans="3:13" x14ac:dyDescent="0.2">
      <c r="C21" s="4" t="s">
        <v>25</v>
      </c>
      <c r="D21" s="12">
        <f>SUM(D7:D20)</f>
        <v>89304.6</v>
      </c>
      <c r="J21" t="s">
        <v>35</v>
      </c>
      <c r="K21" s="11">
        <f>SUM(K7:K20)</f>
        <v>62424.460000000006</v>
      </c>
      <c r="L21" t="s">
        <v>25</v>
      </c>
      <c r="M21" s="11">
        <f>SUM(M8:M20)</f>
        <v>70478.100000000006</v>
      </c>
    </row>
    <row r="23" spans="3:13" x14ac:dyDescent="0.2">
      <c r="C23" s="4"/>
      <c r="D23" s="12">
        <f>D7/I7</f>
        <v>150.96675461835963</v>
      </c>
    </row>
    <row r="25" spans="3:13" x14ac:dyDescent="0.2">
      <c r="C25" t="s">
        <v>39</v>
      </c>
      <c r="D25">
        <v>30</v>
      </c>
    </row>
    <row r="28" spans="3:13" x14ac:dyDescent="0.2">
      <c r="C28" t="s">
        <v>29</v>
      </c>
      <c r="D28">
        <v>5.8979999999999998E-2</v>
      </c>
    </row>
    <row r="31" spans="3:13" x14ac:dyDescent="0.2">
      <c r="C31" t="s">
        <v>27</v>
      </c>
      <c r="D31">
        <v>26</v>
      </c>
      <c r="E31" t="s">
        <v>28</v>
      </c>
    </row>
    <row r="33" spans="3:4" x14ac:dyDescent="0.2">
      <c r="C33" t="s">
        <v>36</v>
      </c>
      <c r="D33">
        <v>13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transportation cost</vt:lpstr>
      <vt:lpstr>inventory cost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2017-02-20T18:03:57Z</dcterms:created>
  <dcterms:modified xsi:type="dcterms:W3CDTF">2018-04-08T23:17:10Z</dcterms:modified>
</cp:coreProperties>
</file>